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\HP650L\"/>
    </mc:Choice>
  </mc:AlternateContent>
  <xr:revisionPtr revIDLastSave="0" documentId="8_{759759F3-E634-4437-9D81-A13EE7E268A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01, 0411, P59" sheetId="1" r:id="rId1"/>
    <sheet name="E40" sheetId="2" r:id="rId2"/>
    <sheet name="P04" sheetId="3" r:id="rId3"/>
    <sheet name="P05" sheetId="4" r:id="rId4"/>
    <sheet name="P12" sheetId="5" r:id="rId5"/>
    <sheet name="E37, E38 (&lt;2009)" sheetId="6" r:id="rId6"/>
    <sheet name="E38 (2009+), E67, E78" sheetId="7" r:id="rId7"/>
    <sheet name="Generic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3" i="8" l="1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E58" i="8"/>
  <c r="C58" i="8"/>
  <c r="E57" i="8"/>
  <c r="C57" i="8"/>
  <c r="E56" i="8"/>
  <c r="C56" i="8"/>
  <c r="E55" i="8"/>
  <c r="C55" i="8"/>
  <c r="E54" i="8"/>
  <c r="C54" i="8"/>
  <c r="E53" i="8"/>
  <c r="C53" i="8"/>
  <c r="E52" i="8"/>
  <c r="C52" i="8"/>
  <c r="E51" i="8"/>
  <c r="C51" i="8"/>
  <c r="E50" i="8"/>
  <c r="C50" i="8"/>
  <c r="E49" i="8"/>
  <c r="C49" i="8"/>
  <c r="E48" i="8"/>
  <c r="C48" i="8"/>
  <c r="E47" i="8"/>
  <c r="C47" i="8"/>
  <c r="E46" i="8"/>
  <c r="C46" i="8"/>
  <c r="E45" i="8"/>
  <c r="C45" i="8"/>
  <c r="E44" i="8"/>
  <c r="C44" i="8"/>
  <c r="E43" i="8"/>
  <c r="C43" i="8"/>
  <c r="E42" i="8"/>
  <c r="C42" i="8"/>
  <c r="R79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B79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E74" i="7"/>
  <c r="C74" i="7"/>
  <c r="E73" i="7"/>
  <c r="C73" i="7"/>
  <c r="E72" i="7"/>
  <c r="C72" i="7"/>
  <c r="E71" i="7"/>
  <c r="C71" i="7"/>
  <c r="E70" i="7"/>
  <c r="C70" i="7"/>
  <c r="E69" i="7"/>
  <c r="C69" i="7"/>
  <c r="E68" i="7"/>
  <c r="C68" i="7"/>
  <c r="E67" i="7"/>
  <c r="C67" i="7"/>
  <c r="E66" i="7"/>
  <c r="C66" i="7"/>
  <c r="E65" i="7"/>
  <c r="C65" i="7"/>
  <c r="E64" i="7"/>
  <c r="C64" i="7"/>
  <c r="E63" i="7"/>
  <c r="C63" i="7"/>
  <c r="E62" i="7"/>
  <c r="C62" i="7"/>
  <c r="E61" i="7"/>
  <c r="C61" i="7"/>
  <c r="E60" i="7"/>
  <c r="C60" i="7"/>
  <c r="E59" i="7"/>
  <c r="C59" i="7"/>
  <c r="E58" i="7"/>
  <c r="C58" i="7"/>
  <c r="E57" i="7"/>
  <c r="C57" i="7"/>
  <c r="E56" i="7"/>
  <c r="C56" i="7"/>
  <c r="E55" i="7"/>
  <c r="C55" i="7"/>
  <c r="E54" i="7"/>
  <c r="C54" i="7"/>
  <c r="E53" i="7"/>
  <c r="C53" i="7"/>
  <c r="E52" i="7"/>
  <c r="C52" i="7"/>
  <c r="E51" i="7"/>
  <c r="C51" i="7"/>
  <c r="E50" i="7"/>
  <c r="C50" i="7"/>
  <c r="E49" i="7"/>
  <c r="C49" i="7"/>
  <c r="E48" i="7"/>
  <c r="C48" i="7"/>
  <c r="E47" i="7"/>
  <c r="C47" i="7"/>
  <c r="E46" i="7"/>
  <c r="C46" i="7"/>
  <c r="E45" i="7"/>
  <c r="C45" i="7"/>
  <c r="E44" i="7"/>
  <c r="C44" i="7"/>
  <c r="E43" i="7"/>
  <c r="C43" i="7"/>
  <c r="E42" i="7"/>
  <c r="C42" i="7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E74" i="6"/>
  <c r="C74" i="6"/>
  <c r="E73" i="6"/>
  <c r="C73" i="6"/>
  <c r="E72" i="6"/>
  <c r="C72" i="6"/>
  <c r="E71" i="6"/>
  <c r="C71" i="6"/>
  <c r="E70" i="6"/>
  <c r="C70" i="6"/>
  <c r="E69" i="6"/>
  <c r="C69" i="6"/>
  <c r="E68" i="6"/>
  <c r="C68" i="6"/>
  <c r="E67" i="6"/>
  <c r="C67" i="6"/>
  <c r="E66" i="6"/>
  <c r="C66" i="6"/>
  <c r="E65" i="6"/>
  <c r="C65" i="6"/>
  <c r="E64" i="6"/>
  <c r="C64" i="6"/>
  <c r="E63" i="6"/>
  <c r="C63" i="6"/>
  <c r="E62" i="6"/>
  <c r="C62" i="6"/>
  <c r="E61" i="6"/>
  <c r="C61" i="6"/>
  <c r="E60" i="6"/>
  <c r="C60" i="6"/>
  <c r="E59" i="6"/>
  <c r="C59" i="6"/>
  <c r="E58" i="6"/>
  <c r="C58" i="6"/>
  <c r="E57" i="6"/>
  <c r="C57" i="6"/>
  <c r="E56" i="6"/>
  <c r="C56" i="6"/>
  <c r="E55" i="6"/>
  <c r="C55" i="6"/>
  <c r="E54" i="6"/>
  <c r="C54" i="6"/>
  <c r="E53" i="6"/>
  <c r="C53" i="6"/>
  <c r="E52" i="6"/>
  <c r="C52" i="6"/>
  <c r="E51" i="6"/>
  <c r="C51" i="6"/>
  <c r="E50" i="6"/>
  <c r="C50" i="6"/>
  <c r="E49" i="6"/>
  <c r="C49" i="6"/>
  <c r="E48" i="6"/>
  <c r="C48" i="6"/>
  <c r="E47" i="6"/>
  <c r="C47" i="6"/>
  <c r="E46" i="6"/>
  <c r="C46" i="6"/>
  <c r="E45" i="6"/>
  <c r="C45" i="6"/>
  <c r="E44" i="6"/>
  <c r="C44" i="6"/>
  <c r="E43" i="6"/>
  <c r="C43" i="6"/>
  <c r="E42" i="6"/>
  <c r="C42" i="6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B78" i="5"/>
  <c r="E74" i="5"/>
  <c r="C74" i="5"/>
  <c r="E73" i="5"/>
  <c r="C73" i="5"/>
  <c r="E72" i="5"/>
  <c r="C72" i="5"/>
  <c r="E71" i="5"/>
  <c r="C71" i="5"/>
  <c r="E70" i="5"/>
  <c r="C70" i="5"/>
  <c r="E69" i="5"/>
  <c r="C69" i="5"/>
  <c r="E68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E61" i="5"/>
  <c r="C61" i="5"/>
  <c r="E60" i="5"/>
  <c r="C60" i="5"/>
  <c r="E59" i="5"/>
  <c r="C59" i="5"/>
  <c r="E58" i="5"/>
  <c r="C58" i="5"/>
  <c r="E57" i="5"/>
  <c r="C57" i="5"/>
  <c r="E56" i="5"/>
  <c r="C56" i="5"/>
  <c r="E55" i="5"/>
  <c r="C55" i="5"/>
  <c r="E54" i="5"/>
  <c r="C54" i="5"/>
  <c r="E53" i="5"/>
  <c r="C53" i="5"/>
  <c r="E52" i="5"/>
  <c r="C52" i="5"/>
  <c r="E51" i="5"/>
  <c r="C51" i="5"/>
  <c r="E50" i="5"/>
  <c r="C50" i="5"/>
  <c r="E49" i="5"/>
  <c r="C49" i="5"/>
  <c r="E48" i="5"/>
  <c r="C48" i="5"/>
  <c r="E47" i="5"/>
  <c r="C47" i="5"/>
  <c r="E46" i="5"/>
  <c r="C46" i="5"/>
  <c r="E45" i="5"/>
  <c r="C45" i="5"/>
  <c r="E44" i="5"/>
  <c r="C44" i="5"/>
  <c r="E43" i="5"/>
  <c r="C43" i="5"/>
  <c r="E42" i="5"/>
  <c r="C42" i="5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E57" i="4"/>
  <c r="C57" i="4"/>
  <c r="E56" i="4"/>
  <c r="C56" i="4"/>
  <c r="E55" i="4"/>
  <c r="C55" i="4"/>
  <c r="E54" i="4"/>
  <c r="C54" i="4"/>
  <c r="E53" i="4"/>
  <c r="C53" i="4"/>
  <c r="E52" i="4"/>
  <c r="C52" i="4"/>
  <c r="E51" i="4"/>
  <c r="C51" i="4"/>
  <c r="E50" i="4"/>
  <c r="C50" i="4"/>
  <c r="E49" i="4"/>
  <c r="C49" i="4"/>
  <c r="E48" i="4"/>
  <c r="C48" i="4"/>
  <c r="E47" i="4"/>
  <c r="C47" i="4"/>
  <c r="E46" i="4"/>
  <c r="C46" i="4"/>
  <c r="E45" i="4"/>
  <c r="C45" i="4"/>
  <c r="E44" i="4"/>
  <c r="C44" i="4"/>
  <c r="E43" i="4"/>
  <c r="C43" i="4"/>
  <c r="E42" i="4"/>
  <c r="C42" i="4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E52" i="3"/>
  <c r="C52" i="3"/>
  <c r="E51" i="3"/>
  <c r="C51" i="3"/>
  <c r="E50" i="3"/>
  <c r="C50" i="3"/>
  <c r="E49" i="3"/>
  <c r="C49" i="3"/>
  <c r="E48" i="3"/>
  <c r="C48" i="3"/>
  <c r="E47" i="3"/>
  <c r="C47" i="3"/>
  <c r="E46" i="3"/>
  <c r="C46" i="3"/>
  <c r="E45" i="3"/>
  <c r="C45" i="3"/>
  <c r="E44" i="3"/>
  <c r="C44" i="3"/>
  <c r="E43" i="3"/>
  <c r="C43" i="3"/>
  <c r="E42" i="3"/>
  <c r="C42" i="3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E58" i="2"/>
  <c r="C58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C51" i="2"/>
  <c r="E50" i="2"/>
  <c r="C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C42" i="2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E58" i="1"/>
  <c r="C58" i="1"/>
  <c r="E57" i="1"/>
  <c r="C57" i="1"/>
  <c r="E56" i="1"/>
  <c r="C56" i="1"/>
  <c r="E55" i="1"/>
  <c r="C55" i="1"/>
  <c r="E54" i="1"/>
  <c r="C54" i="1"/>
  <c r="E53" i="1"/>
  <c r="C53" i="1"/>
  <c r="E52" i="1"/>
  <c r="C52" i="1"/>
  <c r="E51" i="1"/>
  <c r="C51" i="1"/>
  <c r="E50" i="1"/>
  <c r="C50" i="1"/>
  <c r="E49" i="1"/>
  <c r="C49" i="1"/>
  <c r="E48" i="1"/>
  <c r="C48" i="1"/>
  <c r="E47" i="1"/>
  <c r="C47" i="1"/>
  <c r="E46" i="1"/>
  <c r="C46" i="1"/>
  <c r="E45" i="1"/>
  <c r="C45" i="1"/>
  <c r="E44" i="1"/>
  <c r="C44" i="1"/>
  <c r="E43" i="1"/>
  <c r="C43" i="1"/>
  <c r="E42" i="1"/>
  <c r="C42" i="1"/>
</calcChain>
</file>

<file path=xl/sharedStrings.xml><?xml version="1.0" encoding="utf-8"?>
<sst xmlns="http://schemas.openxmlformats.org/spreadsheetml/2006/main" count="302" uniqueCount="45">
  <si>
    <t>P01, 0411, P59</t>
  </si>
  <si>
    <t>Injector Type:</t>
  </si>
  <si>
    <t>HP650L</t>
  </si>
  <si>
    <t>Matched Set:</t>
  </si>
  <si>
    <t>None selected</t>
  </si>
  <si>
    <t>Report Date:</t>
  </si>
  <si>
    <t>14/08/2024</t>
  </si>
  <si>
    <t>(c) Injectors Online Pty Ltd ATF Injectors Online Trust 2020</t>
  </si>
  <si>
    <t>Reference Pressure (gauge):</t>
  </si>
  <si>
    <t>kPa</t>
  </si>
  <si>
    <t>Reference Voltage (gauge):</t>
  </si>
  <si>
    <t>V</t>
  </si>
  <si>
    <t>Minimum Pulse Width:</t>
  </si>
  <si>
    <t>ms</t>
  </si>
  <si>
    <t>Static Flow</t>
  </si>
  <si>
    <t>Scaling</t>
  </si>
  <si>
    <t>%</t>
  </si>
  <si>
    <t>Edit to update</t>
  </si>
  <si>
    <t>Stoich (Petrol)</t>
  </si>
  <si>
    <t>Stoich (Ethanol)</t>
  </si>
  <si>
    <t>Manifold Vacuum [kPa]</t>
  </si>
  <si>
    <t>Flow [lb/h]</t>
  </si>
  <si>
    <t>Flow (Scaled) [lb/h]</t>
  </si>
  <si>
    <t>Flow [g/s]</t>
  </si>
  <si>
    <t>Flow (Scaled) [g/s]</t>
  </si>
  <si>
    <t>Air Fuel Ratio</t>
  </si>
  <si>
    <t>Ethonol Percentage [%]</t>
  </si>
  <si>
    <t>Stoich</t>
  </si>
  <si>
    <t>Stoich  (Scaled)</t>
  </si>
  <si>
    <t>Battery Offsets</t>
  </si>
  <si>
    <t>Table data (Offset) [ms]</t>
  </si>
  <si>
    <t>Battery Voltage [V]</t>
  </si>
  <si>
    <t>Short Pulse Adder</t>
  </si>
  <si>
    <t>Short Pulse Limit:</t>
  </si>
  <si>
    <t>Effective Pulse Width [ms]</t>
  </si>
  <si>
    <t>Adder [ms]</t>
  </si>
  <si>
    <t>E40</t>
  </si>
  <si>
    <t>P04</t>
  </si>
  <si>
    <t>P05</t>
  </si>
  <si>
    <t>P12</t>
  </si>
  <si>
    <t>E37, E38 (&lt;2009)</t>
  </si>
  <si>
    <t>Differential Pressure [kPa]</t>
  </si>
  <si>
    <t>E38 (2009+), E67, E78</t>
  </si>
  <si>
    <t>Generic</t>
  </si>
  <si>
    <t>Pressures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</si>
</sst>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" fontId="2" fillId="2" borderId="10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wrapText="1"/>
    </xf>
    <xf numFmtId="1" fontId="2" fillId="2" borderId="12" xfId="0" applyNumberFormat="1" applyFont="1" applyFill="1" applyBorder="1" applyAlignment="1">
      <alignment wrapText="1"/>
    </xf>
    <xf numFmtId="2" fontId="2" fillId="2" borderId="10" xfId="0" applyNumberFormat="1" applyFont="1" applyFill="1" applyBorder="1" applyAlignment="1">
      <alignment wrapText="1"/>
    </xf>
    <xf numFmtId="2" fontId="2" fillId="2" borderId="11" xfId="0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>
      <alignment wrapText="1"/>
    </xf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5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4</xdr:col>
      <xdr:colOff>533400</xdr:colOff>
      <xdr:row>9</xdr:row>
      <xdr:rowOff>153750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E44D5D-C937-441B-85C5-4DDA083F6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4219575" cy="177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4</xdr:col>
      <xdr:colOff>533400</xdr:colOff>
      <xdr:row>9</xdr:row>
      <xdr:rowOff>153750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02EF75-86F4-456C-AC0F-40502C2DC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4219575" cy="177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4</xdr:col>
      <xdr:colOff>533400</xdr:colOff>
      <xdr:row>9</xdr:row>
      <xdr:rowOff>153750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233A6C-294B-4E59-BECB-D8DE14231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4219575" cy="1773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4</xdr:col>
      <xdr:colOff>533400</xdr:colOff>
      <xdr:row>9</xdr:row>
      <xdr:rowOff>153750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C73E96-552A-4835-A0EC-B46323634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4219575" cy="1773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4</xdr:col>
      <xdr:colOff>533400</xdr:colOff>
      <xdr:row>9</xdr:row>
      <xdr:rowOff>153750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FB7B2C-85EA-4DB3-B32A-1BF0EE2D7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4219575" cy="1773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4</xdr:col>
      <xdr:colOff>533400</xdr:colOff>
      <xdr:row>9</xdr:row>
      <xdr:rowOff>153750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AA3FDE-60BB-464E-A916-149D442A8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4219575" cy="1773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4</xdr:col>
      <xdr:colOff>533400</xdr:colOff>
      <xdr:row>9</xdr:row>
      <xdr:rowOff>153750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729FDE-8007-444F-B983-0F1D64229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4219575" cy="1773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4</xdr:col>
      <xdr:colOff>533400</xdr:colOff>
      <xdr:row>9</xdr:row>
      <xdr:rowOff>153750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B64764-1AB1-48EF-9588-593901D15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4219575" cy="177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C161"/>
  <sheetViews>
    <sheetView tabSelected="1" workbookViewId="0">
      <selection activeCell="B13" sqref="B13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0.13000000000000009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20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0</v>
      </c>
      <c r="B42" s="6">
        <v>79.751009717984459</v>
      </c>
      <c r="C42" s="6">
        <f>79.7510097179844 * $B$37 / 100</f>
        <v>79.751009717984402</v>
      </c>
      <c r="D42" s="6">
        <v>10.048450000000001</v>
      </c>
      <c r="E42" s="7">
        <f>10.04845 * $B$37 / 100</f>
        <v>10.048450000000001</v>
      </c>
    </row>
    <row r="43" spans="1:5" x14ac:dyDescent="0.25">
      <c r="A43" s="5">
        <v>5</v>
      </c>
      <c r="B43" s="6">
        <v>80.230925589516588</v>
      </c>
      <c r="C43" s="6">
        <f>80.2309255895165 * $B$37 / 100</f>
        <v>80.230925589516502</v>
      </c>
      <c r="D43" s="6">
        <v>10.108918333333341</v>
      </c>
      <c r="E43" s="7">
        <f>10.1089183333333 * $B$37 / 100</f>
        <v>10.1089183333333</v>
      </c>
    </row>
    <row r="44" spans="1:5" x14ac:dyDescent="0.25">
      <c r="A44" s="5">
        <v>10</v>
      </c>
      <c r="B44" s="6">
        <v>80.710841461048716</v>
      </c>
      <c r="C44" s="6">
        <f>80.7108414610487 * $B$37 / 100</f>
        <v>80.710841461048702</v>
      </c>
      <c r="D44" s="6">
        <v>10.16938666666667</v>
      </c>
      <c r="E44" s="7">
        <f>10.1693866666666 * $B$37 / 100</f>
        <v>10.1693866666666</v>
      </c>
    </row>
    <row r="45" spans="1:5" x14ac:dyDescent="0.25">
      <c r="A45" s="5">
        <v>15</v>
      </c>
      <c r="B45" s="6">
        <v>81.19075733258083</v>
      </c>
      <c r="C45" s="6">
        <f>81.1907573325808 * $B$37 / 100</f>
        <v>81.190757332580802</v>
      </c>
      <c r="D45" s="6">
        <v>10.229855000000001</v>
      </c>
      <c r="E45" s="7">
        <f>10.229855 * $B$37 / 100</f>
        <v>10.229855000000001</v>
      </c>
    </row>
    <row r="46" spans="1:5" x14ac:dyDescent="0.25">
      <c r="A46" s="5">
        <v>20</v>
      </c>
      <c r="B46" s="6">
        <v>81.670673204112958</v>
      </c>
      <c r="C46" s="6">
        <f>81.6706732041129 * $B$37 / 100</f>
        <v>81.670673204112902</v>
      </c>
      <c r="D46" s="6">
        <v>10.29032333333334</v>
      </c>
      <c r="E46" s="7">
        <f>10.2903233333333 * $B$37 / 100</f>
        <v>10.2903233333333</v>
      </c>
    </row>
    <row r="47" spans="1:5" x14ac:dyDescent="0.25">
      <c r="A47" s="5">
        <v>25</v>
      </c>
      <c r="B47" s="6">
        <v>82.150589075645087</v>
      </c>
      <c r="C47" s="6">
        <f>82.150589075645 * $B$37 / 100</f>
        <v>82.150589075645001</v>
      </c>
      <c r="D47" s="6">
        <v>10.350791666666669</v>
      </c>
      <c r="E47" s="7">
        <f>10.3507916666666 * $B$37 / 100</f>
        <v>10.3507916666666</v>
      </c>
    </row>
    <row r="48" spans="1:5" x14ac:dyDescent="0.25">
      <c r="A48" s="5">
        <v>30</v>
      </c>
      <c r="B48" s="6">
        <v>82.630504947177201</v>
      </c>
      <c r="C48" s="6">
        <f>82.6305049471772 * $B$37 / 100</f>
        <v>82.630504947177201</v>
      </c>
      <c r="D48" s="6">
        <v>10.41126</v>
      </c>
      <c r="E48" s="7">
        <f>10.41126 * $B$37 / 100</f>
        <v>10.41126</v>
      </c>
    </row>
    <row r="49" spans="1:18" x14ac:dyDescent="0.25">
      <c r="A49" s="5">
        <v>35</v>
      </c>
      <c r="B49" s="6">
        <v>83.110420818709329</v>
      </c>
      <c r="C49" s="6">
        <f>83.1104208187093 * $B$37 / 100</f>
        <v>83.110420818709301</v>
      </c>
      <c r="D49" s="6">
        <v>10.47172833333333</v>
      </c>
      <c r="E49" s="7">
        <f>10.4717283333333 * $B$37 / 100</f>
        <v>10.471728333333299</v>
      </c>
    </row>
    <row r="50" spans="1:18" x14ac:dyDescent="0.25">
      <c r="A50" s="5">
        <v>40</v>
      </c>
      <c r="B50" s="6">
        <v>83.590336690241458</v>
      </c>
      <c r="C50" s="6">
        <f>83.5903366902414 * $B$37 / 100</f>
        <v>83.590336690241401</v>
      </c>
      <c r="D50" s="6">
        <v>10.532196666666669</v>
      </c>
      <c r="E50" s="7">
        <f>10.5321966666666 * $B$37 / 100</f>
        <v>10.5321966666666</v>
      </c>
    </row>
    <row r="51" spans="1:18" x14ac:dyDescent="0.25">
      <c r="A51" s="5">
        <v>45</v>
      </c>
      <c r="B51" s="6">
        <v>84.070252561773586</v>
      </c>
      <c r="C51" s="6">
        <f>84.0702525617735 * $B$37 / 100</f>
        <v>84.070252561773501</v>
      </c>
      <c r="D51" s="6">
        <v>10.592665</v>
      </c>
      <c r="E51" s="7">
        <f>10.592665 * $B$37 / 100</f>
        <v>10.592665</v>
      </c>
    </row>
    <row r="52" spans="1:18" x14ac:dyDescent="0.25">
      <c r="A52" s="5">
        <v>50</v>
      </c>
      <c r="B52" s="6">
        <v>84.550168433305714</v>
      </c>
      <c r="C52" s="6">
        <f>84.5501684333057 * $B$37 / 100</f>
        <v>84.5501684333057</v>
      </c>
      <c r="D52" s="6">
        <v>10.653133333333329</v>
      </c>
      <c r="E52" s="7">
        <f>10.6531333333333 * $B$37 / 100</f>
        <v>10.653133333333299</v>
      </c>
    </row>
    <row r="53" spans="1:18" x14ac:dyDescent="0.25">
      <c r="A53" s="5">
        <v>55</v>
      </c>
      <c r="B53" s="6">
        <v>85.030084304837828</v>
      </c>
      <c r="C53" s="6">
        <f>85.0300843048378 * $B$37 / 100</f>
        <v>85.0300843048378</v>
      </c>
      <c r="D53" s="6">
        <v>10.713601666666669</v>
      </c>
      <c r="E53" s="7">
        <f>10.7136016666666 * $B$37 / 100</f>
        <v>10.7136016666666</v>
      </c>
    </row>
    <row r="54" spans="1:18" x14ac:dyDescent="0.25">
      <c r="A54" s="5">
        <v>60</v>
      </c>
      <c r="B54" s="6">
        <v>85.510000176369957</v>
      </c>
      <c r="C54" s="6">
        <f>85.5100001763699 * $B$37 / 100</f>
        <v>85.5100001763699</v>
      </c>
      <c r="D54" s="6">
        <v>10.77407</v>
      </c>
      <c r="E54" s="7">
        <f>10.77407 * $B$37 / 100</f>
        <v>10.77407</v>
      </c>
    </row>
    <row r="55" spans="1:18" x14ac:dyDescent="0.25">
      <c r="A55" s="5">
        <v>65</v>
      </c>
      <c r="B55" s="6">
        <v>85.989916047902085</v>
      </c>
      <c r="C55" s="6">
        <f>85.989916047902 * $B$37 / 100</f>
        <v>85.989916047902</v>
      </c>
      <c r="D55" s="6">
        <v>10.834538333333329</v>
      </c>
      <c r="E55" s="7">
        <f>10.8345383333333 * $B$37 / 100</f>
        <v>10.834538333333301</v>
      </c>
    </row>
    <row r="56" spans="1:18" x14ac:dyDescent="0.25">
      <c r="A56" s="5">
        <v>70</v>
      </c>
      <c r="B56" s="6">
        <v>86.469831919434199</v>
      </c>
      <c r="C56" s="6">
        <f>86.4698319194342 * $B$37 / 100</f>
        <v>86.469831919434199</v>
      </c>
      <c r="D56" s="6">
        <v>10.895006666666671</v>
      </c>
      <c r="E56" s="7">
        <f>10.8950066666666 * $B$37 / 100</f>
        <v>10.8950066666666</v>
      </c>
    </row>
    <row r="57" spans="1:18" x14ac:dyDescent="0.25">
      <c r="A57" s="5">
        <v>75</v>
      </c>
      <c r="B57" s="6">
        <v>86.949747790966327</v>
      </c>
      <c r="C57" s="6">
        <f>86.9497477909663 * $B$37 / 100</f>
        <v>86.949747790966299</v>
      </c>
      <c r="D57" s="6">
        <v>10.955475</v>
      </c>
      <c r="E57" s="7">
        <f>10.955475 * $B$37 / 100</f>
        <v>10.955475</v>
      </c>
    </row>
    <row r="58" spans="1:18" x14ac:dyDescent="0.25">
      <c r="A58" s="8">
        <v>80</v>
      </c>
      <c r="B58" s="9">
        <v>87.429663662498456</v>
      </c>
      <c r="C58" s="9">
        <f>87.4296636624984 * $B$37 / 100</f>
        <v>87.429663662498399</v>
      </c>
      <c r="D58" s="9">
        <v>11.015943333333331</v>
      </c>
      <c r="E58" s="10">
        <f>11.0159433333333 * $B$37 / 100</f>
        <v>11.015943333333301</v>
      </c>
    </row>
    <row r="60" spans="1:18" ht="28.9" customHeight="1" x14ac:dyDescent="0.5">
      <c r="A60" s="1" t="s">
        <v>25</v>
      </c>
      <c r="B60" s="1"/>
    </row>
    <row r="61" spans="1:18" x14ac:dyDescent="0.25">
      <c r="A61" s="21" t="s">
        <v>26</v>
      </c>
      <c r="B61" s="22">
        <v>0</v>
      </c>
      <c r="C61" s="22">
        <v>6.25</v>
      </c>
      <c r="D61" s="22">
        <v>12.5</v>
      </c>
      <c r="E61" s="22">
        <v>18.75</v>
      </c>
      <c r="F61" s="22">
        <v>25</v>
      </c>
      <c r="G61" s="22">
        <v>31.25</v>
      </c>
      <c r="H61" s="22">
        <v>37.5</v>
      </c>
      <c r="I61" s="22">
        <v>43.75</v>
      </c>
      <c r="J61" s="22">
        <v>50</v>
      </c>
      <c r="K61" s="22">
        <v>56.25</v>
      </c>
      <c r="L61" s="22">
        <v>62.5</v>
      </c>
      <c r="M61" s="22">
        <v>68.75</v>
      </c>
      <c r="N61" s="22">
        <v>75</v>
      </c>
      <c r="O61" s="22">
        <v>81.25</v>
      </c>
      <c r="P61" s="22">
        <v>87.5</v>
      </c>
      <c r="Q61" s="22">
        <v>93.75</v>
      </c>
      <c r="R61" s="23">
        <v>100</v>
      </c>
    </row>
    <row r="62" spans="1:18" x14ac:dyDescent="0.25">
      <c r="A62" s="5" t="s">
        <v>27</v>
      </c>
      <c r="B62" s="6">
        <f>0 * $B$39 + (1 - 0) * $B$38</f>
        <v>14.7</v>
      </c>
      <c r="C62" s="6">
        <f>0.0625 * $B$39 + (1 - 0.0625) * $B$38</f>
        <v>14.344250000000001</v>
      </c>
      <c r="D62" s="6">
        <f>0.125 * $B$39 + (1 - 0.125) * $B$38</f>
        <v>13.988499999999998</v>
      </c>
      <c r="E62" s="6">
        <f>0.1875 * $B$39 + (1 - 0.1875) * $B$38</f>
        <v>13.63275</v>
      </c>
      <c r="F62" s="6">
        <f>0.25 * $B$39 + (1 - 0.25) * $B$38</f>
        <v>13.276999999999997</v>
      </c>
      <c r="G62" s="6">
        <f>0.3125 * $B$39 + (1 - 0.3125) * $B$38</f>
        <v>12.921249999999999</v>
      </c>
      <c r="H62" s="6">
        <f>0.375 * $B$39 + (1 - 0.375) * $B$38</f>
        <v>12.5655</v>
      </c>
      <c r="I62" s="6">
        <f>0.4375 * $B$39 + (1 - 0.4375) * $B$38</f>
        <v>12.20975</v>
      </c>
      <c r="J62" s="6">
        <f>0.5 * $B$39 + (1 - 0.5) * $B$38</f>
        <v>11.853999999999999</v>
      </c>
      <c r="K62" s="6">
        <f>0.5625 * $B$39 + (1 - 0.5625) * $B$38</f>
        <v>11.498249999999999</v>
      </c>
      <c r="L62" s="6">
        <f>0.625 * $B$39 + (1 - 0.625) * $B$38</f>
        <v>11.142499999999998</v>
      </c>
      <c r="M62" s="6">
        <f>0.6875 * $B$39 + (1 - 0.6875) * $B$38</f>
        <v>10.78675</v>
      </c>
      <c r="N62" s="6">
        <f>0.75 * $B$39 + (1 - 0.75) * $B$38</f>
        <v>10.430999999999999</v>
      </c>
      <c r="O62" s="6">
        <f>0.8125 * $B$39 + (1 - 0.8125) * $B$38</f>
        <v>10.075249999999999</v>
      </c>
      <c r="P62" s="6">
        <f>0.875 * $B$39 + (1 - 0.875) * $B$38</f>
        <v>9.7195</v>
      </c>
      <c r="Q62" s="6">
        <f>0.9375 * $B$39 + (1 - 0.9375) * $B$38</f>
        <v>9.3637499999999978</v>
      </c>
      <c r="R62" s="7">
        <f>1 * $B$39 + (1 - 1) * $B$38</f>
        <v>9.0079999999999991</v>
      </c>
    </row>
    <row r="63" spans="1:18" x14ac:dyDescent="0.25">
      <c r="A63" s="8" t="s">
        <v>28</v>
      </c>
      <c r="B63" s="9">
        <f>(0 * $B$39 + (1 - 0) * $B$38) * $B$37 / 100</f>
        <v>14.7</v>
      </c>
      <c r="C63" s="9">
        <f>(0.0625 * $B$39 + (1 - 0.0625) * $B$38) * $B$37 / 100</f>
        <v>14.344249999999999</v>
      </c>
      <c r="D63" s="9">
        <f>(0.125 * $B$39 + (1 - 0.125) * $B$38) * $B$37 / 100</f>
        <v>13.988499999999998</v>
      </c>
      <c r="E63" s="9">
        <f>(0.1875 * $B$39 + (1 - 0.1875) * $B$38) * $B$37 / 100</f>
        <v>13.632749999999998</v>
      </c>
      <c r="F63" s="9">
        <f>(0.25 * $B$39 + (1 - 0.25) * $B$38) * $B$37 / 100</f>
        <v>13.276999999999997</v>
      </c>
      <c r="G63" s="9">
        <f>(0.3125 * $B$39 + (1 - 0.3125) * $B$38) * $B$37 / 100</f>
        <v>12.921249999999997</v>
      </c>
      <c r="H63" s="9">
        <f>(0.375 * $B$39 + (1 - 0.375) * $B$38) * $B$37 / 100</f>
        <v>12.5655</v>
      </c>
      <c r="I63" s="9">
        <f>(0.4375 * $B$39 + (1 - 0.4375) * $B$38) * $B$37 / 100</f>
        <v>12.20975</v>
      </c>
      <c r="J63" s="9">
        <f>(0.5 * $B$39 + (1 - 0.5) * $B$38) * $B$37 / 100</f>
        <v>11.853999999999999</v>
      </c>
      <c r="K63" s="9">
        <f>(0.5625 * $B$39 + (1 - 0.5625) * $B$38) * $B$37 / 100</f>
        <v>11.498249999999999</v>
      </c>
      <c r="L63" s="9">
        <f>(0.625 * $B$39 + (1 - 0.625) * $B$38) * $B$37 / 100</f>
        <v>11.142499999999998</v>
      </c>
      <c r="M63" s="9">
        <f>(0.6875 * $B$39 + (1 - 0.6875) * $B$38) * $B$37 / 100</f>
        <v>10.78675</v>
      </c>
      <c r="N63" s="9">
        <f>(0.75 * $B$39 + (1 - 0.75) * $B$38) * $B$37 / 100</f>
        <v>10.430999999999999</v>
      </c>
      <c r="O63" s="9">
        <f>(0.8125 * $B$39 + (1 - 0.8125) * $B$38) * $B$37 / 100</f>
        <v>10.075249999999999</v>
      </c>
      <c r="P63" s="9">
        <f>(0.875 * $B$39 + (1 - 0.875) * $B$38) * $B$37 / 100</f>
        <v>9.7195</v>
      </c>
      <c r="Q63" s="9">
        <f>(0.9375 * $B$39 + (1 - 0.9375) * $B$38) * $B$37 / 100</f>
        <v>9.3637499999999978</v>
      </c>
      <c r="R63" s="10">
        <f>(1 * $B$39 + (1 - 1) * $B$38) * $B$37 / 100</f>
        <v>9.0079999999999991</v>
      </c>
    </row>
    <row r="65" spans="1:29" ht="28.9" customHeight="1" x14ac:dyDescent="0.5">
      <c r="A65" s="1" t="s">
        <v>29</v>
      </c>
      <c r="B65" s="1"/>
    </row>
    <row r="66" spans="1:29" x14ac:dyDescent="0.25">
      <c r="A66" s="24" t="s">
        <v>30</v>
      </c>
      <c r="B66" s="25" t="s">
        <v>31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6"/>
    </row>
    <row r="67" spans="1:29" x14ac:dyDescent="0.25">
      <c r="A67" s="27" t="s">
        <v>20</v>
      </c>
      <c r="B67" s="28">
        <v>4.5</v>
      </c>
      <c r="C67" s="28">
        <v>5</v>
      </c>
      <c r="D67" s="28">
        <v>5.5</v>
      </c>
      <c r="E67" s="28">
        <v>6</v>
      </c>
      <c r="F67" s="28">
        <v>6.5</v>
      </c>
      <c r="G67" s="28">
        <v>7</v>
      </c>
      <c r="H67" s="28">
        <v>7.5</v>
      </c>
      <c r="I67" s="28">
        <v>8</v>
      </c>
      <c r="J67" s="28">
        <v>8.5</v>
      </c>
      <c r="K67" s="28">
        <v>9</v>
      </c>
      <c r="L67" s="28">
        <v>9.5</v>
      </c>
      <c r="M67" s="28">
        <v>10</v>
      </c>
      <c r="N67" s="28">
        <v>10.5</v>
      </c>
      <c r="O67" s="28">
        <v>11</v>
      </c>
      <c r="P67" s="28">
        <v>11.5</v>
      </c>
      <c r="Q67" s="28">
        <v>12</v>
      </c>
      <c r="R67" s="28">
        <v>12.5</v>
      </c>
      <c r="S67" s="28">
        <v>13</v>
      </c>
      <c r="T67" s="28">
        <v>13.5</v>
      </c>
      <c r="U67" s="28">
        <v>14</v>
      </c>
      <c r="V67" s="28">
        <v>14.5</v>
      </c>
      <c r="W67" s="28">
        <v>15</v>
      </c>
      <c r="X67" s="28">
        <v>15.5</v>
      </c>
      <c r="Y67" s="28">
        <v>16</v>
      </c>
      <c r="Z67" s="28">
        <v>16.5</v>
      </c>
      <c r="AA67" s="28">
        <v>17</v>
      </c>
      <c r="AB67" s="28">
        <v>17.5</v>
      </c>
      <c r="AC67" s="29">
        <v>18</v>
      </c>
    </row>
    <row r="68" spans="1:29" x14ac:dyDescent="0.25">
      <c r="A68" s="30">
        <v>0</v>
      </c>
      <c r="B68" s="31">
        <v>2.459000000000001</v>
      </c>
      <c r="C68" s="31">
        <v>2.459000000000001</v>
      </c>
      <c r="D68" s="31">
        <v>2.459000000000001</v>
      </c>
      <c r="E68" s="31">
        <v>2.4590000000000001</v>
      </c>
      <c r="F68" s="31">
        <v>2.4590000000000001</v>
      </c>
      <c r="G68" s="31">
        <v>2.4589999999999992</v>
      </c>
      <c r="H68" s="31">
        <v>2.459000000000001</v>
      </c>
      <c r="I68" s="31">
        <v>2.4590000000000001</v>
      </c>
      <c r="J68" s="31">
        <v>2.2667500000000009</v>
      </c>
      <c r="K68" s="31">
        <v>2.0745000000000009</v>
      </c>
      <c r="L68" s="31">
        <v>1.88225</v>
      </c>
      <c r="M68" s="31">
        <v>1.6900000000000011</v>
      </c>
      <c r="N68" s="31">
        <v>1.5780000000000001</v>
      </c>
      <c r="O68" s="31">
        <v>1.466</v>
      </c>
      <c r="P68" s="31">
        <v>1.378000000000001</v>
      </c>
      <c r="Q68" s="31">
        <v>1.29</v>
      </c>
      <c r="R68" s="31">
        <v>1.2390000000000001</v>
      </c>
      <c r="S68" s="31">
        <v>1.1879999999999999</v>
      </c>
      <c r="T68" s="31">
        <v>1.129</v>
      </c>
      <c r="U68" s="31">
        <v>1.07</v>
      </c>
      <c r="V68" s="31">
        <v>1.024</v>
      </c>
      <c r="W68" s="31">
        <v>0.97800000000000009</v>
      </c>
      <c r="X68" s="31">
        <v>0.93450000000000033</v>
      </c>
      <c r="Y68" s="31">
        <v>0.89100000000000001</v>
      </c>
      <c r="Z68" s="31">
        <v>0.86650000000000049</v>
      </c>
      <c r="AA68" s="31">
        <v>0.84200000000000041</v>
      </c>
      <c r="AB68" s="31">
        <v>0.81600000000000028</v>
      </c>
      <c r="AC68" s="32">
        <v>0.81600000000000028</v>
      </c>
    </row>
    <row r="69" spans="1:29" x14ac:dyDescent="0.25">
      <c r="A69" s="30">
        <v>5</v>
      </c>
      <c r="B69" s="31">
        <v>2.4709500000000011</v>
      </c>
      <c r="C69" s="31">
        <v>2.4709499999999989</v>
      </c>
      <c r="D69" s="31">
        <v>2.4709500000000011</v>
      </c>
      <c r="E69" s="31">
        <v>2.4709500000000011</v>
      </c>
      <c r="F69" s="31">
        <v>2.4709500000000011</v>
      </c>
      <c r="G69" s="31">
        <v>2.4709500000000002</v>
      </c>
      <c r="H69" s="31">
        <v>2.4709500000000011</v>
      </c>
      <c r="I69" s="31">
        <v>2.4709499999999989</v>
      </c>
      <c r="J69" s="31">
        <v>2.276825000000001</v>
      </c>
      <c r="K69" s="31">
        <v>2.0827</v>
      </c>
      <c r="L69" s="31">
        <v>1.8885749999999999</v>
      </c>
      <c r="M69" s="31">
        <v>1.69445</v>
      </c>
      <c r="N69" s="31">
        <v>1.583575</v>
      </c>
      <c r="O69" s="31">
        <v>1.4726999999999999</v>
      </c>
      <c r="P69" s="31">
        <v>1.3829750000000001</v>
      </c>
      <c r="Q69" s="31">
        <v>1.29325</v>
      </c>
      <c r="R69" s="31">
        <v>1.2420500000000001</v>
      </c>
      <c r="S69" s="31">
        <v>1.19085</v>
      </c>
      <c r="T69" s="31">
        <v>1.132425</v>
      </c>
      <c r="U69" s="31">
        <v>1.0740000000000001</v>
      </c>
      <c r="V69" s="31">
        <v>1.0279499999999999</v>
      </c>
      <c r="W69" s="31">
        <v>0.98190000000000011</v>
      </c>
      <c r="X69" s="31">
        <v>0.93797500000000011</v>
      </c>
      <c r="Y69" s="31">
        <v>0.89404999999999979</v>
      </c>
      <c r="Z69" s="31">
        <v>0.86920000000000031</v>
      </c>
      <c r="AA69" s="31">
        <v>0.84435000000000016</v>
      </c>
      <c r="AB69" s="31">
        <v>0.81835000000000013</v>
      </c>
      <c r="AC69" s="32">
        <v>0.81835000000000013</v>
      </c>
    </row>
    <row r="70" spans="1:29" x14ac:dyDescent="0.25">
      <c r="A70" s="30">
        <v>10</v>
      </c>
      <c r="B70" s="31">
        <v>2.4828999999999999</v>
      </c>
      <c r="C70" s="31">
        <v>2.4829000000000012</v>
      </c>
      <c r="D70" s="31">
        <v>2.4829000000000012</v>
      </c>
      <c r="E70" s="31">
        <v>2.482899999999999</v>
      </c>
      <c r="F70" s="31">
        <v>2.482899999999999</v>
      </c>
      <c r="G70" s="31">
        <v>2.482899999999999</v>
      </c>
      <c r="H70" s="31">
        <v>2.4829000000000012</v>
      </c>
      <c r="I70" s="31">
        <v>2.4828999999999999</v>
      </c>
      <c r="J70" s="31">
        <v>2.2869000000000002</v>
      </c>
      <c r="K70" s="31">
        <v>2.0909</v>
      </c>
      <c r="L70" s="31">
        <v>1.8949</v>
      </c>
      <c r="M70" s="31">
        <v>1.6989000000000001</v>
      </c>
      <c r="N70" s="31">
        <v>1.589150000000001</v>
      </c>
      <c r="O70" s="31">
        <v>1.4794</v>
      </c>
      <c r="P70" s="31">
        <v>1.38795</v>
      </c>
      <c r="Q70" s="31">
        <v>1.2965</v>
      </c>
      <c r="R70" s="31">
        <v>1.2451000000000001</v>
      </c>
      <c r="S70" s="31">
        <v>1.1937</v>
      </c>
      <c r="T70" s="31">
        <v>1.13585</v>
      </c>
      <c r="U70" s="31">
        <v>1.0780000000000001</v>
      </c>
      <c r="V70" s="31">
        <v>1.0319</v>
      </c>
      <c r="W70" s="31">
        <v>0.98580000000000012</v>
      </c>
      <c r="X70" s="31">
        <v>0.94144999999999979</v>
      </c>
      <c r="Y70" s="31">
        <v>0.89709999999999979</v>
      </c>
      <c r="Z70" s="31">
        <v>0.87190000000000012</v>
      </c>
      <c r="AA70" s="31">
        <v>0.84670000000000001</v>
      </c>
      <c r="AB70" s="31">
        <v>0.82069999999999999</v>
      </c>
      <c r="AC70" s="32">
        <v>0.82070000000000021</v>
      </c>
    </row>
    <row r="71" spans="1:29" x14ac:dyDescent="0.25">
      <c r="A71" s="30">
        <v>15</v>
      </c>
      <c r="B71" s="31">
        <v>2.4948500000000009</v>
      </c>
      <c r="C71" s="31">
        <v>2.49485</v>
      </c>
      <c r="D71" s="31">
        <v>2.49485</v>
      </c>
      <c r="E71" s="31">
        <v>2.49485</v>
      </c>
      <c r="F71" s="31">
        <v>2.49485</v>
      </c>
      <c r="G71" s="31">
        <v>2.4948499999999991</v>
      </c>
      <c r="H71" s="31">
        <v>2.4948500000000009</v>
      </c>
      <c r="I71" s="31">
        <v>2.49485</v>
      </c>
      <c r="J71" s="31">
        <v>2.2969750000000011</v>
      </c>
      <c r="K71" s="31">
        <v>2.0991</v>
      </c>
      <c r="L71" s="31">
        <v>1.9012249999999999</v>
      </c>
      <c r="M71" s="31">
        <v>1.7033499999999999</v>
      </c>
      <c r="N71" s="31">
        <v>1.5947249999999999</v>
      </c>
      <c r="O71" s="31">
        <v>1.4861</v>
      </c>
      <c r="P71" s="31">
        <v>1.392925</v>
      </c>
      <c r="Q71" s="31">
        <v>1.29975</v>
      </c>
      <c r="R71" s="31">
        <v>1.2481500000000001</v>
      </c>
      <c r="S71" s="31">
        <v>1.19655</v>
      </c>
      <c r="T71" s="31">
        <v>1.139275</v>
      </c>
      <c r="U71" s="31">
        <v>1.0820000000000001</v>
      </c>
      <c r="V71" s="31">
        <v>1.0358499999999999</v>
      </c>
      <c r="W71" s="31">
        <v>0.98970000000000014</v>
      </c>
      <c r="X71" s="31">
        <v>0.94492500000000001</v>
      </c>
      <c r="Y71" s="31">
        <v>0.90014999999999989</v>
      </c>
      <c r="Z71" s="31">
        <v>0.87460000000000038</v>
      </c>
      <c r="AA71" s="31">
        <v>0.84905000000000008</v>
      </c>
      <c r="AB71" s="31">
        <v>0.82305000000000017</v>
      </c>
      <c r="AC71" s="32">
        <v>0.82304999999999995</v>
      </c>
    </row>
    <row r="72" spans="1:29" x14ac:dyDescent="0.25">
      <c r="A72" s="30">
        <v>20</v>
      </c>
      <c r="B72" s="31">
        <v>2.5068000000000001</v>
      </c>
      <c r="C72" s="31">
        <v>2.5068000000000001</v>
      </c>
      <c r="D72" s="31">
        <v>2.5068000000000001</v>
      </c>
      <c r="E72" s="31">
        <v>2.5068000000000001</v>
      </c>
      <c r="F72" s="31">
        <v>2.5067999999999988</v>
      </c>
      <c r="G72" s="31">
        <v>2.5068000000000001</v>
      </c>
      <c r="H72" s="31">
        <v>2.5068000000000001</v>
      </c>
      <c r="I72" s="31">
        <v>2.5068000000000001</v>
      </c>
      <c r="J72" s="31">
        <v>2.3070500000000012</v>
      </c>
      <c r="K72" s="31">
        <v>2.1073</v>
      </c>
      <c r="L72" s="31">
        <v>1.9075500000000001</v>
      </c>
      <c r="M72" s="31">
        <v>1.7078</v>
      </c>
      <c r="N72" s="31">
        <v>1.6003000000000001</v>
      </c>
      <c r="O72" s="31">
        <v>1.4927999999999999</v>
      </c>
      <c r="P72" s="31">
        <v>1.3978999999999999</v>
      </c>
      <c r="Q72" s="31">
        <v>1.3029999999999999</v>
      </c>
      <c r="R72" s="31">
        <v>1.2512000000000001</v>
      </c>
      <c r="S72" s="31">
        <v>1.1994</v>
      </c>
      <c r="T72" s="31">
        <v>1.1427</v>
      </c>
      <c r="U72" s="31">
        <v>1.0860000000000001</v>
      </c>
      <c r="V72" s="31">
        <v>1.0398000000000001</v>
      </c>
      <c r="W72" s="31">
        <v>0.99359999999999982</v>
      </c>
      <c r="X72" s="31">
        <v>0.94839999999999958</v>
      </c>
      <c r="Y72" s="31">
        <v>0.90319999999999967</v>
      </c>
      <c r="Z72" s="31">
        <v>0.8773000000000003</v>
      </c>
      <c r="AA72" s="31">
        <v>0.85140000000000027</v>
      </c>
      <c r="AB72" s="31">
        <v>0.82540000000000013</v>
      </c>
      <c r="AC72" s="32">
        <v>0.82540000000000013</v>
      </c>
    </row>
    <row r="73" spans="1:29" x14ac:dyDescent="0.25">
      <c r="A73" s="30">
        <v>25</v>
      </c>
      <c r="B73" s="31">
        <v>2.5187499999999998</v>
      </c>
      <c r="C73" s="31">
        <v>2.5187499999999998</v>
      </c>
      <c r="D73" s="31">
        <v>2.5187500000000012</v>
      </c>
      <c r="E73" s="31">
        <v>2.5187499999999989</v>
      </c>
      <c r="F73" s="31">
        <v>2.5187499999999989</v>
      </c>
      <c r="G73" s="31">
        <v>2.518749999999998</v>
      </c>
      <c r="H73" s="31">
        <v>2.5187499999999998</v>
      </c>
      <c r="I73" s="31">
        <v>2.5187499999999998</v>
      </c>
      <c r="J73" s="31">
        <v>2.317124999999999</v>
      </c>
      <c r="K73" s="31">
        <v>2.115499999999999</v>
      </c>
      <c r="L73" s="31">
        <v>1.913875</v>
      </c>
      <c r="M73" s="31">
        <v>1.71225</v>
      </c>
      <c r="N73" s="31">
        <v>1.6058749999999999</v>
      </c>
      <c r="O73" s="31">
        <v>1.4994999999999989</v>
      </c>
      <c r="P73" s="31">
        <v>1.4028750000000001</v>
      </c>
      <c r="Q73" s="31">
        <v>1.3062499999999999</v>
      </c>
      <c r="R73" s="31">
        <v>1.2542500000000001</v>
      </c>
      <c r="S73" s="31">
        <v>1.20225</v>
      </c>
      <c r="T73" s="31">
        <v>1.1461250000000001</v>
      </c>
      <c r="U73" s="31">
        <v>1.0900000000000001</v>
      </c>
      <c r="V73" s="31">
        <v>1.04375</v>
      </c>
      <c r="W73" s="31">
        <v>0.99749999999999972</v>
      </c>
      <c r="X73" s="31">
        <v>0.95187500000000003</v>
      </c>
      <c r="Y73" s="31">
        <v>0.90624999999999978</v>
      </c>
      <c r="Z73" s="31">
        <v>0.87999999999999989</v>
      </c>
      <c r="AA73" s="31">
        <v>0.85374999999999979</v>
      </c>
      <c r="AB73" s="31">
        <v>0.8277500000000001</v>
      </c>
      <c r="AC73" s="32">
        <v>0.82774999999999976</v>
      </c>
    </row>
    <row r="74" spans="1:29" x14ac:dyDescent="0.25">
      <c r="A74" s="30">
        <v>30</v>
      </c>
      <c r="B74" s="31">
        <v>2.5307000000000008</v>
      </c>
      <c r="C74" s="31">
        <v>2.5306999999999999</v>
      </c>
      <c r="D74" s="31">
        <v>2.5306999999999999</v>
      </c>
      <c r="E74" s="31">
        <v>2.5306999999999999</v>
      </c>
      <c r="F74" s="31">
        <v>2.5306999999999999</v>
      </c>
      <c r="G74" s="31">
        <v>2.5306999999999999</v>
      </c>
      <c r="H74" s="31">
        <v>2.5306999999999999</v>
      </c>
      <c r="I74" s="31">
        <v>2.5306999999999999</v>
      </c>
      <c r="J74" s="31">
        <v>2.3272000000000008</v>
      </c>
      <c r="K74" s="31">
        <v>2.1236999999999999</v>
      </c>
      <c r="L74" s="31">
        <v>1.9201999999999999</v>
      </c>
      <c r="M74" s="31">
        <v>1.7166999999999999</v>
      </c>
      <c r="N74" s="31">
        <v>1.61145</v>
      </c>
      <c r="O74" s="31">
        <v>1.5062</v>
      </c>
      <c r="P74" s="31">
        <v>1.40785</v>
      </c>
      <c r="Q74" s="31">
        <v>1.3095000000000001</v>
      </c>
      <c r="R74" s="31">
        <v>1.2573000000000001</v>
      </c>
      <c r="S74" s="31">
        <v>1.2051000000000001</v>
      </c>
      <c r="T74" s="31">
        <v>1.149550000000001</v>
      </c>
      <c r="U74" s="31">
        <v>1.0940000000000001</v>
      </c>
      <c r="V74" s="31">
        <v>1.0477000000000001</v>
      </c>
      <c r="W74" s="31">
        <v>1.0014000000000001</v>
      </c>
      <c r="X74" s="31">
        <v>0.95535000000000025</v>
      </c>
      <c r="Y74" s="31">
        <v>0.90930000000000011</v>
      </c>
      <c r="Z74" s="31">
        <v>0.88270000000000026</v>
      </c>
      <c r="AA74" s="31">
        <v>0.85610000000000031</v>
      </c>
      <c r="AB74" s="31">
        <v>0.83010000000000006</v>
      </c>
      <c r="AC74" s="32">
        <v>0.83010000000000006</v>
      </c>
    </row>
    <row r="75" spans="1:29" x14ac:dyDescent="0.25">
      <c r="A75" s="30">
        <v>35</v>
      </c>
      <c r="B75" s="31">
        <v>2.542650000000001</v>
      </c>
      <c r="C75" s="31">
        <v>2.5426499999999992</v>
      </c>
      <c r="D75" s="31">
        <v>2.5426500000000001</v>
      </c>
      <c r="E75" s="31">
        <v>2.5426500000000001</v>
      </c>
      <c r="F75" s="31">
        <v>2.5426499999999992</v>
      </c>
      <c r="G75" s="31">
        <v>2.5426499999999992</v>
      </c>
      <c r="H75" s="31">
        <v>2.542650000000001</v>
      </c>
      <c r="I75" s="31">
        <v>2.5426499999999992</v>
      </c>
      <c r="J75" s="31">
        <v>2.337275</v>
      </c>
      <c r="K75" s="31">
        <v>2.131899999999999</v>
      </c>
      <c r="L75" s="31">
        <v>1.926525</v>
      </c>
      <c r="M75" s="31">
        <v>1.72115</v>
      </c>
      <c r="N75" s="31">
        <v>1.6170249999999999</v>
      </c>
      <c r="O75" s="31">
        <v>1.5128999999999999</v>
      </c>
      <c r="P75" s="31">
        <v>1.412825</v>
      </c>
      <c r="Q75" s="31">
        <v>1.3127500000000001</v>
      </c>
      <c r="R75" s="31">
        <v>1.2603500000000001</v>
      </c>
      <c r="S75" s="31">
        <v>1.2079500000000001</v>
      </c>
      <c r="T75" s="31">
        <v>1.1529750000000001</v>
      </c>
      <c r="U75" s="31">
        <v>1.0980000000000001</v>
      </c>
      <c r="V75" s="31">
        <v>1.05165</v>
      </c>
      <c r="W75" s="31">
        <v>1.0053000000000001</v>
      </c>
      <c r="X75" s="31">
        <v>0.95882499999999993</v>
      </c>
      <c r="Y75" s="31">
        <v>0.91234999999999999</v>
      </c>
      <c r="Z75" s="31">
        <v>0.88540000000000008</v>
      </c>
      <c r="AA75" s="31">
        <v>0.85844999999999994</v>
      </c>
      <c r="AB75" s="31">
        <v>0.8324499999999998</v>
      </c>
      <c r="AC75" s="32">
        <v>0.8324499999999998</v>
      </c>
    </row>
    <row r="76" spans="1:29" x14ac:dyDescent="0.25">
      <c r="A76" s="30">
        <v>40</v>
      </c>
      <c r="B76" s="31">
        <v>2.5546000000000002</v>
      </c>
      <c r="C76" s="31">
        <v>2.5546000000000011</v>
      </c>
      <c r="D76" s="31">
        <v>2.5546000000000011</v>
      </c>
      <c r="E76" s="31">
        <v>2.5546000000000002</v>
      </c>
      <c r="F76" s="31">
        <v>2.5546000000000002</v>
      </c>
      <c r="G76" s="31">
        <v>2.5546000000000011</v>
      </c>
      <c r="H76" s="31">
        <v>2.5546000000000011</v>
      </c>
      <c r="I76" s="31">
        <v>2.5546000000000002</v>
      </c>
      <c r="J76" s="31">
        <v>2.34735</v>
      </c>
      <c r="K76" s="31">
        <v>2.1401000000000008</v>
      </c>
      <c r="L76" s="31">
        <v>1.93285</v>
      </c>
      <c r="M76" s="31">
        <v>1.7256000000000009</v>
      </c>
      <c r="N76" s="31">
        <v>1.6226</v>
      </c>
      <c r="O76" s="31">
        <v>1.5196000000000001</v>
      </c>
      <c r="P76" s="31">
        <v>1.4178000000000011</v>
      </c>
      <c r="Q76" s="31">
        <v>1.3160000000000001</v>
      </c>
      <c r="R76" s="31">
        <v>1.2634000000000001</v>
      </c>
      <c r="S76" s="31">
        <v>1.2108000000000001</v>
      </c>
      <c r="T76" s="31">
        <v>1.1564000000000001</v>
      </c>
      <c r="U76" s="31">
        <v>1.102000000000001</v>
      </c>
      <c r="V76" s="31">
        <v>1.0556000000000001</v>
      </c>
      <c r="W76" s="31">
        <v>1.0092000000000001</v>
      </c>
      <c r="X76" s="31">
        <v>0.96230000000000038</v>
      </c>
      <c r="Y76" s="31">
        <v>0.91540000000000021</v>
      </c>
      <c r="Z76" s="31">
        <v>0.88810000000000044</v>
      </c>
      <c r="AA76" s="31">
        <v>0.86080000000000023</v>
      </c>
      <c r="AB76" s="31">
        <v>0.83479999999999999</v>
      </c>
      <c r="AC76" s="32">
        <v>0.8348000000000001</v>
      </c>
    </row>
    <row r="77" spans="1:29" x14ac:dyDescent="0.25">
      <c r="A77" s="30">
        <v>45</v>
      </c>
      <c r="B77" s="31">
        <v>2.5665500000000012</v>
      </c>
      <c r="C77" s="31">
        <v>2.5665500000000012</v>
      </c>
      <c r="D77" s="31">
        <v>2.5665500000000012</v>
      </c>
      <c r="E77" s="31">
        <v>2.5665500000000012</v>
      </c>
      <c r="F77" s="31">
        <v>2.5665499999999999</v>
      </c>
      <c r="G77" s="31">
        <v>2.5665500000000012</v>
      </c>
      <c r="H77" s="31">
        <v>2.5665500000000012</v>
      </c>
      <c r="I77" s="31">
        <v>2.5665499999999999</v>
      </c>
      <c r="J77" s="31">
        <v>2.3574250000000001</v>
      </c>
      <c r="K77" s="31">
        <v>2.1482999999999999</v>
      </c>
      <c r="L77" s="31">
        <v>1.9391750000000001</v>
      </c>
      <c r="M77" s="31">
        <v>1.7300500000000001</v>
      </c>
      <c r="N77" s="31">
        <v>1.6281749999999999</v>
      </c>
      <c r="O77" s="31">
        <v>1.5263</v>
      </c>
      <c r="P77" s="31">
        <v>1.4227749999999999</v>
      </c>
      <c r="Q77" s="31">
        <v>1.31925</v>
      </c>
      <c r="R77" s="31">
        <v>1.2664500000000001</v>
      </c>
      <c r="S77" s="31">
        <v>1.2136499999999999</v>
      </c>
      <c r="T77" s="31">
        <v>1.1598250000000001</v>
      </c>
      <c r="U77" s="31">
        <v>1.1060000000000001</v>
      </c>
      <c r="V77" s="31">
        <v>1.05955</v>
      </c>
      <c r="W77" s="31">
        <v>1.0130999999999999</v>
      </c>
      <c r="X77" s="31">
        <v>0.96577500000000005</v>
      </c>
      <c r="Y77" s="31">
        <v>0.9184500000000001</v>
      </c>
      <c r="Z77" s="31">
        <v>0.89080000000000026</v>
      </c>
      <c r="AA77" s="31">
        <v>0.86315000000000053</v>
      </c>
      <c r="AB77" s="31">
        <v>0.83715000000000006</v>
      </c>
      <c r="AC77" s="32">
        <v>0.83715000000000006</v>
      </c>
    </row>
    <row r="78" spans="1:29" x14ac:dyDescent="0.25">
      <c r="A78" s="30">
        <v>50</v>
      </c>
      <c r="B78" s="31">
        <v>2.5785</v>
      </c>
      <c r="C78" s="31">
        <v>2.5785</v>
      </c>
      <c r="D78" s="31">
        <v>2.5785</v>
      </c>
      <c r="E78" s="31">
        <v>2.5785</v>
      </c>
      <c r="F78" s="31">
        <v>2.5785000000000009</v>
      </c>
      <c r="G78" s="31">
        <v>2.5785</v>
      </c>
      <c r="H78" s="31">
        <v>2.5785</v>
      </c>
      <c r="I78" s="31">
        <v>2.5785</v>
      </c>
      <c r="J78" s="31">
        <v>2.3675000000000002</v>
      </c>
      <c r="K78" s="31">
        <v>2.1565000000000012</v>
      </c>
      <c r="L78" s="31">
        <v>1.9455</v>
      </c>
      <c r="M78" s="31">
        <v>1.7344999999999999</v>
      </c>
      <c r="N78" s="31">
        <v>1.63375</v>
      </c>
      <c r="O78" s="31">
        <v>1.5329999999999999</v>
      </c>
      <c r="P78" s="31">
        <v>1.4277500000000001</v>
      </c>
      <c r="Q78" s="31">
        <v>1.3225</v>
      </c>
      <c r="R78" s="31">
        <v>1.2695000000000001</v>
      </c>
      <c r="S78" s="31">
        <v>1.2164999999999999</v>
      </c>
      <c r="T78" s="31">
        <v>1.1632499999999999</v>
      </c>
      <c r="U78" s="31">
        <v>1.1100000000000001</v>
      </c>
      <c r="V78" s="31">
        <v>1.0634999999999999</v>
      </c>
      <c r="W78" s="31">
        <v>1.0169999999999999</v>
      </c>
      <c r="X78" s="31">
        <v>0.96925000000000006</v>
      </c>
      <c r="Y78" s="31">
        <v>0.92149999999999976</v>
      </c>
      <c r="Z78" s="31">
        <v>0.89350000000000007</v>
      </c>
      <c r="AA78" s="31">
        <v>0.86549999999999994</v>
      </c>
      <c r="AB78" s="31">
        <v>0.83950000000000014</v>
      </c>
      <c r="AC78" s="32">
        <v>0.83950000000000002</v>
      </c>
    </row>
    <row r="79" spans="1:29" x14ac:dyDescent="0.25">
      <c r="A79" s="30">
        <v>55</v>
      </c>
      <c r="B79" s="31">
        <v>2.5904500000000001</v>
      </c>
      <c r="C79" s="31">
        <v>2.5904500000000001</v>
      </c>
      <c r="D79" s="31">
        <v>2.590450000000001</v>
      </c>
      <c r="E79" s="31">
        <v>2.590450000000001</v>
      </c>
      <c r="F79" s="31">
        <v>2.5904500000000001</v>
      </c>
      <c r="G79" s="31">
        <v>2.5904500000000001</v>
      </c>
      <c r="H79" s="31">
        <v>2.5904500000000001</v>
      </c>
      <c r="I79" s="31">
        <v>2.5904499999999988</v>
      </c>
      <c r="J79" s="31">
        <v>2.3775750000000011</v>
      </c>
      <c r="K79" s="31">
        <v>2.1646999999999998</v>
      </c>
      <c r="L79" s="31">
        <v>1.9518249999999999</v>
      </c>
      <c r="M79" s="31">
        <v>1.7389500000000011</v>
      </c>
      <c r="N79" s="31">
        <v>1.6393249999999999</v>
      </c>
      <c r="O79" s="31">
        <v>1.5397000000000001</v>
      </c>
      <c r="P79" s="31">
        <v>1.432725</v>
      </c>
      <c r="Q79" s="31">
        <v>1.32575</v>
      </c>
      <c r="R79" s="31">
        <v>1.2725500000000001</v>
      </c>
      <c r="S79" s="31">
        <v>1.2193499999999999</v>
      </c>
      <c r="T79" s="31">
        <v>1.1666749999999999</v>
      </c>
      <c r="U79" s="31">
        <v>1.1140000000000001</v>
      </c>
      <c r="V79" s="31">
        <v>1.06745</v>
      </c>
      <c r="W79" s="31">
        <v>1.020900000000001</v>
      </c>
      <c r="X79" s="31">
        <v>0.97272500000000028</v>
      </c>
      <c r="Y79" s="31">
        <v>0.9245500000000002</v>
      </c>
      <c r="Z79" s="31">
        <v>0.89620000000000033</v>
      </c>
      <c r="AA79" s="31">
        <v>0.86785000000000034</v>
      </c>
      <c r="AB79" s="31">
        <v>0.8418500000000001</v>
      </c>
      <c r="AC79" s="32">
        <v>0.84185000000000021</v>
      </c>
    </row>
    <row r="80" spans="1:29" x14ac:dyDescent="0.25">
      <c r="A80" s="30">
        <v>60</v>
      </c>
      <c r="B80" s="31">
        <v>2.6023999999999989</v>
      </c>
      <c r="C80" s="31">
        <v>2.6023999999999998</v>
      </c>
      <c r="D80" s="31">
        <v>2.6023999999999998</v>
      </c>
      <c r="E80" s="31">
        <v>2.6023999999999989</v>
      </c>
      <c r="F80" s="31">
        <v>2.6023999999999989</v>
      </c>
      <c r="G80" s="31">
        <v>2.6023999999999989</v>
      </c>
      <c r="H80" s="31">
        <v>2.6023999999999998</v>
      </c>
      <c r="I80" s="31">
        <v>2.6023999999999998</v>
      </c>
      <c r="J80" s="31">
        <v>2.3876499999999998</v>
      </c>
      <c r="K80" s="31">
        <v>2.1728999999999998</v>
      </c>
      <c r="L80" s="31">
        <v>1.9581500000000001</v>
      </c>
      <c r="M80" s="31">
        <v>1.7434000000000001</v>
      </c>
      <c r="N80" s="31">
        <v>1.6449</v>
      </c>
      <c r="O80" s="31">
        <v>1.5464</v>
      </c>
      <c r="P80" s="31">
        <v>1.4377</v>
      </c>
      <c r="Q80" s="31">
        <v>1.329</v>
      </c>
      <c r="R80" s="31">
        <v>1.2756000000000001</v>
      </c>
      <c r="S80" s="31">
        <v>1.2222</v>
      </c>
      <c r="T80" s="31">
        <v>1.1700999999999999</v>
      </c>
      <c r="U80" s="31">
        <v>1.1180000000000001</v>
      </c>
      <c r="V80" s="31">
        <v>1.0713999999999999</v>
      </c>
      <c r="W80" s="31">
        <v>1.0247999999999999</v>
      </c>
      <c r="X80" s="31">
        <v>0.97620000000000007</v>
      </c>
      <c r="Y80" s="31">
        <v>0.92759999999999987</v>
      </c>
      <c r="Z80" s="31">
        <v>0.89889999999999981</v>
      </c>
      <c r="AA80" s="31">
        <v>0.87020000000000008</v>
      </c>
      <c r="AB80" s="31">
        <v>0.84419999999999995</v>
      </c>
      <c r="AC80" s="32">
        <v>0.84420000000000006</v>
      </c>
    </row>
    <row r="81" spans="1:29" x14ac:dyDescent="0.25">
      <c r="A81" s="30">
        <v>65</v>
      </c>
      <c r="B81" s="31">
        <v>2.6143500000000008</v>
      </c>
      <c r="C81" s="31">
        <v>2.61435</v>
      </c>
      <c r="D81" s="31">
        <v>2.61435</v>
      </c>
      <c r="E81" s="31">
        <v>2.6143500000000008</v>
      </c>
      <c r="F81" s="31">
        <v>2.6143500000000008</v>
      </c>
      <c r="G81" s="31">
        <v>2.61435</v>
      </c>
      <c r="H81" s="31">
        <v>2.61435</v>
      </c>
      <c r="I81" s="31">
        <v>2.61435</v>
      </c>
      <c r="J81" s="31">
        <v>2.3977250000000012</v>
      </c>
      <c r="K81" s="31">
        <v>2.1810999999999998</v>
      </c>
      <c r="L81" s="31">
        <v>1.9644750000000011</v>
      </c>
      <c r="M81" s="31">
        <v>1.7478499999999999</v>
      </c>
      <c r="N81" s="31">
        <v>1.650475000000001</v>
      </c>
      <c r="O81" s="31">
        <v>1.5530999999999999</v>
      </c>
      <c r="P81" s="31">
        <v>1.4426749999999999</v>
      </c>
      <c r="Q81" s="31">
        <v>1.3322499999999999</v>
      </c>
      <c r="R81" s="31">
        <v>1.2786500000000001</v>
      </c>
      <c r="S81" s="31">
        <v>1.22505</v>
      </c>
      <c r="T81" s="31">
        <v>1.1735249999999999</v>
      </c>
      <c r="U81" s="31">
        <v>1.1220000000000001</v>
      </c>
      <c r="V81" s="31">
        <v>1.07535</v>
      </c>
      <c r="W81" s="31">
        <v>1.0286999999999999</v>
      </c>
      <c r="X81" s="31">
        <v>0.97967500000000018</v>
      </c>
      <c r="Y81" s="31">
        <v>0.93065000000000031</v>
      </c>
      <c r="Z81" s="31">
        <v>0.90159999999999996</v>
      </c>
      <c r="AA81" s="31">
        <v>0.87255000000000005</v>
      </c>
      <c r="AB81" s="31">
        <v>0.84655000000000014</v>
      </c>
      <c r="AC81" s="32">
        <v>0.84654999999999991</v>
      </c>
    </row>
    <row r="82" spans="1:29" x14ac:dyDescent="0.25">
      <c r="A82" s="30">
        <v>70</v>
      </c>
      <c r="B82" s="31">
        <v>2.6263000000000001</v>
      </c>
      <c r="C82" s="31">
        <v>2.6263000000000001</v>
      </c>
      <c r="D82" s="31">
        <v>2.626300000000001</v>
      </c>
      <c r="E82" s="31">
        <v>2.6263000000000001</v>
      </c>
      <c r="F82" s="31">
        <v>2.626300000000001</v>
      </c>
      <c r="G82" s="31">
        <v>2.6262999999999992</v>
      </c>
      <c r="H82" s="31">
        <v>2.626300000000001</v>
      </c>
      <c r="I82" s="31">
        <v>2.626300000000001</v>
      </c>
      <c r="J82" s="31">
        <v>2.4077999999999999</v>
      </c>
      <c r="K82" s="31">
        <v>2.1892999999999998</v>
      </c>
      <c r="L82" s="31">
        <v>1.9708000000000001</v>
      </c>
      <c r="M82" s="31">
        <v>1.7523</v>
      </c>
      <c r="N82" s="31">
        <v>1.65605</v>
      </c>
      <c r="O82" s="31">
        <v>1.5598000000000001</v>
      </c>
      <c r="P82" s="31">
        <v>1.4476500000000001</v>
      </c>
      <c r="Q82" s="31">
        <v>1.3354999999999999</v>
      </c>
      <c r="R82" s="31">
        <v>1.2817000000000001</v>
      </c>
      <c r="S82" s="31">
        <v>1.2279</v>
      </c>
      <c r="T82" s="31">
        <v>1.1769499999999999</v>
      </c>
      <c r="U82" s="31">
        <v>1.1259999999999999</v>
      </c>
      <c r="V82" s="31">
        <v>1.0792999999999999</v>
      </c>
      <c r="W82" s="31">
        <v>1.0326</v>
      </c>
      <c r="X82" s="31">
        <v>0.98314999999999986</v>
      </c>
      <c r="Y82" s="31">
        <v>0.93370000000000031</v>
      </c>
      <c r="Z82" s="31">
        <v>0.9043000000000001</v>
      </c>
      <c r="AA82" s="31">
        <v>0.87490000000000012</v>
      </c>
      <c r="AB82" s="31">
        <v>0.84890000000000021</v>
      </c>
      <c r="AC82" s="32">
        <v>0.84889999999999999</v>
      </c>
    </row>
    <row r="83" spans="1:29" x14ac:dyDescent="0.25">
      <c r="A83" s="30">
        <v>75</v>
      </c>
      <c r="B83" s="31">
        <v>2.6382500000000002</v>
      </c>
      <c r="C83" s="31">
        <v>2.6382500000000002</v>
      </c>
      <c r="D83" s="31">
        <v>2.6382500000000002</v>
      </c>
      <c r="E83" s="31">
        <v>2.6382499999999989</v>
      </c>
      <c r="F83" s="31">
        <v>2.638249999999998</v>
      </c>
      <c r="G83" s="31">
        <v>2.638249999999998</v>
      </c>
      <c r="H83" s="31">
        <v>2.6382500000000002</v>
      </c>
      <c r="I83" s="31">
        <v>2.6382499999999989</v>
      </c>
      <c r="J83" s="31">
        <v>2.417875</v>
      </c>
      <c r="K83" s="31">
        <v>2.1974999999999989</v>
      </c>
      <c r="L83" s="31">
        <v>1.977125</v>
      </c>
      <c r="M83" s="31">
        <v>1.75675</v>
      </c>
      <c r="N83" s="31">
        <v>1.661624999999999</v>
      </c>
      <c r="O83" s="31">
        <v>1.5665</v>
      </c>
      <c r="P83" s="31">
        <v>1.4526250000000001</v>
      </c>
      <c r="Q83" s="31">
        <v>1.3387500000000001</v>
      </c>
      <c r="R83" s="31">
        <v>1.2847500000000001</v>
      </c>
      <c r="S83" s="31">
        <v>1.23075</v>
      </c>
      <c r="T83" s="31">
        <v>1.180375</v>
      </c>
      <c r="U83" s="31">
        <v>1.1299999999999999</v>
      </c>
      <c r="V83" s="31">
        <v>1.08325</v>
      </c>
      <c r="W83" s="31">
        <v>1.0365</v>
      </c>
      <c r="X83" s="31">
        <v>0.98662499999999986</v>
      </c>
      <c r="Y83" s="31">
        <v>0.93674999999999953</v>
      </c>
      <c r="Z83" s="31">
        <v>0.90700000000000025</v>
      </c>
      <c r="AA83" s="31">
        <v>0.87725000000000009</v>
      </c>
      <c r="AB83" s="31">
        <v>0.85124999999999973</v>
      </c>
      <c r="AC83" s="32">
        <v>0.85124999999999984</v>
      </c>
    </row>
    <row r="84" spans="1:29" x14ac:dyDescent="0.25">
      <c r="A84" s="33">
        <v>80</v>
      </c>
      <c r="B84" s="34">
        <v>2.6501999999999999</v>
      </c>
      <c r="C84" s="34">
        <v>2.6501999999999999</v>
      </c>
      <c r="D84" s="34">
        <v>2.6501999999999999</v>
      </c>
      <c r="E84" s="34">
        <v>2.6501999999999999</v>
      </c>
      <c r="F84" s="34">
        <v>2.6501999999999999</v>
      </c>
      <c r="G84" s="34">
        <v>2.650199999999999</v>
      </c>
      <c r="H84" s="34">
        <v>2.6501999999999999</v>
      </c>
      <c r="I84" s="34">
        <v>2.6501999999999999</v>
      </c>
      <c r="J84" s="34">
        <v>2.4279500000000001</v>
      </c>
      <c r="K84" s="34">
        <v>2.2057000000000002</v>
      </c>
      <c r="L84" s="34">
        <v>1.9834499999999999</v>
      </c>
      <c r="M84" s="34">
        <v>1.7612000000000001</v>
      </c>
      <c r="N84" s="34">
        <v>1.6672</v>
      </c>
      <c r="O84" s="34">
        <v>1.5731999999999999</v>
      </c>
      <c r="P84" s="34">
        <v>1.4576</v>
      </c>
      <c r="Q84" s="34">
        <v>1.342000000000001</v>
      </c>
      <c r="R84" s="34">
        <v>1.2878000000000001</v>
      </c>
      <c r="S84" s="34">
        <v>1.2336</v>
      </c>
      <c r="T84" s="34">
        <v>1.1838</v>
      </c>
      <c r="U84" s="34">
        <v>1.1339999999999999</v>
      </c>
      <c r="V84" s="34">
        <v>1.0871999999999999</v>
      </c>
      <c r="W84" s="34">
        <v>1.0404</v>
      </c>
      <c r="X84" s="34">
        <v>0.99009999999999998</v>
      </c>
      <c r="Y84" s="34">
        <v>0.93979999999999997</v>
      </c>
      <c r="Z84" s="34">
        <v>0.90970000000000029</v>
      </c>
      <c r="AA84" s="34">
        <v>0.87960000000000016</v>
      </c>
      <c r="AB84" s="34">
        <v>0.85360000000000003</v>
      </c>
      <c r="AC84" s="35">
        <v>0.85359999999999991</v>
      </c>
    </row>
    <row r="87" spans="1:29" ht="28.9" customHeight="1" x14ac:dyDescent="0.5">
      <c r="A87" s="1" t="s">
        <v>32</v>
      </c>
    </row>
    <row r="88" spans="1:29" ht="32.1" customHeight="1" x14ac:dyDescent="0.25"/>
    <row r="89" spans="1:29" x14ac:dyDescent="0.25">
      <c r="A89" s="2"/>
      <c r="B89" s="3"/>
      <c r="C89" s="3"/>
      <c r="D89" s="4"/>
    </row>
    <row r="90" spans="1:29" x14ac:dyDescent="0.25">
      <c r="A90" s="5" t="s">
        <v>33</v>
      </c>
      <c r="B90" s="6">
        <v>1.3979999999999999</v>
      </c>
      <c r="C90" s="6" t="s">
        <v>13</v>
      </c>
      <c r="D90" s="7"/>
    </row>
    <row r="91" spans="1:29" x14ac:dyDescent="0.25">
      <c r="A91" s="8"/>
      <c r="B91" s="9"/>
      <c r="C91" s="9"/>
      <c r="D91" s="10"/>
    </row>
    <row r="94" spans="1:29" ht="48" customHeight="1" x14ac:dyDescent="0.25">
      <c r="A94" s="21" t="s">
        <v>34</v>
      </c>
      <c r="B94" s="23" t="s">
        <v>35</v>
      </c>
    </row>
    <row r="95" spans="1:29" x14ac:dyDescent="0.25">
      <c r="A95" s="5">
        <v>0</v>
      </c>
      <c r="B95" s="32">
        <v>9.000000000000008E-2</v>
      </c>
    </row>
    <row r="96" spans="1:29" x14ac:dyDescent="0.25">
      <c r="A96" s="5">
        <v>6.0999999999999999E-2</v>
      </c>
      <c r="B96" s="32">
        <v>0.1095520666666665</v>
      </c>
    </row>
    <row r="97" spans="1:2" x14ac:dyDescent="0.25">
      <c r="A97" s="5">
        <v>0.122</v>
      </c>
      <c r="B97" s="32">
        <v>8.3074380952381066E-2</v>
      </c>
    </row>
    <row r="98" spans="1:2" x14ac:dyDescent="0.25">
      <c r="A98" s="5">
        <v>0.182</v>
      </c>
      <c r="B98" s="32">
        <v>4.6197743589743732E-2</v>
      </c>
    </row>
    <row r="99" spans="1:2" x14ac:dyDescent="0.25">
      <c r="A99" s="5">
        <v>0.24299999999999999</v>
      </c>
      <c r="B99" s="32">
        <v>6.1350500000000023E-2</v>
      </c>
    </row>
    <row r="100" spans="1:2" x14ac:dyDescent="0.25">
      <c r="A100" s="5">
        <v>0.30399999999999999</v>
      </c>
      <c r="B100" s="32">
        <v>4.0292266666666743E-2</v>
      </c>
    </row>
    <row r="101" spans="1:2" x14ac:dyDescent="0.25">
      <c r="A101" s="5">
        <v>0.36499999999999999</v>
      </c>
      <c r="B101" s="32">
        <v>1.504833333333333E-2</v>
      </c>
    </row>
    <row r="102" spans="1:2" x14ac:dyDescent="0.25">
      <c r="A102" s="5">
        <v>0.42599999999999999</v>
      </c>
      <c r="B102" s="32">
        <v>2.9396400000000121E-2</v>
      </c>
    </row>
    <row r="103" spans="1:2" x14ac:dyDescent="0.25">
      <c r="A103" s="5">
        <v>0.48599999999999999</v>
      </c>
      <c r="B103" s="32">
        <v>4.2024666666666731E-2</v>
      </c>
    </row>
    <row r="104" spans="1:2" x14ac:dyDescent="0.25">
      <c r="A104" s="5">
        <v>0.54700000000000004</v>
      </c>
      <c r="B104" s="32">
        <v>4.063508333333328E-2</v>
      </c>
    </row>
    <row r="105" spans="1:2" x14ac:dyDescent="0.25">
      <c r="A105" s="5">
        <v>0.60799999999999998</v>
      </c>
      <c r="B105" s="32">
        <v>4.346133333333322E-2</v>
      </c>
    </row>
    <row r="106" spans="1:2" x14ac:dyDescent="0.25">
      <c r="A106" s="5">
        <v>0.66900000000000004</v>
      </c>
      <c r="B106" s="32">
        <v>4.4097833333333628E-2</v>
      </c>
    </row>
    <row r="107" spans="1:2" x14ac:dyDescent="0.25">
      <c r="A107" s="5">
        <v>0.73</v>
      </c>
      <c r="B107" s="32">
        <v>3.2814444444444701E-2</v>
      </c>
    </row>
    <row r="108" spans="1:2" x14ac:dyDescent="0.25">
      <c r="A108" s="5">
        <v>0.79</v>
      </c>
      <c r="B108" s="32">
        <v>2.9621111111111102E-2</v>
      </c>
    </row>
    <row r="109" spans="1:2" x14ac:dyDescent="0.25">
      <c r="A109" s="5">
        <v>0.85099999999999998</v>
      </c>
      <c r="B109" s="32">
        <v>1.460741666666703E-2</v>
      </c>
    </row>
    <row r="110" spans="1:2" x14ac:dyDescent="0.25">
      <c r="A110" s="5">
        <v>0.91200000000000003</v>
      </c>
      <c r="B110" s="32">
        <v>1.6814444444444372E-2</v>
      </c>
    </row>
    <row r="111" spans="1:2" x14ac:dyDescent="0.25">
      <c r="A111" s="5">
        <v>0.97299999999999998</v>
      </c>
      <c r="B111" s="32">
        <v>1.1100833333333429E-2</v>
      </c>
    </row>
    <row r="112" spans="1:2" x14ac:dyDescent="0.25">
      <c r="A112" s="5">
        <v>1.034</v>
      </c>
      <c r="B112" s="32">
        <v>3.0976166666666451E-2</v>
      </c>
    </row>
    <row r="113" spans="1:2" x14ac:dyDescent="0.25">
      <c r="A113" s="5">
        <v>1.0940000000000001</v>
      </c>
      <c r="B113" s="32">
        <v>2.6162333333333308E-2</v>
      </c>
    </row>
    <row r="114" spans="1:2" x14ac:dyDescent="0.25">
      <c r="A114" s="5">
        <v>1.155</v>
      </c>
      <c r="B114" s="32">
        <v>3.080835819282313E-2</v>
      </c>
    </row>
    <row r="115" spans="1:2" x14ac:dyDescent="0.25">
      <c r="A115" s="5">
        <v>1.216</v>
      </c>
      <c r="B115" s="32">
        <v>1.662844594887836E-2</v>
      </c>
    </row>
    <row r="116" spans="1:2" x14ac:dyDescent="0.25">
      <c r="A116" s="5">
        <v>1.2769999999999999</v>
      </c>
      <c r="B116" s="32">
        <v>1.101521763659242E-2</v>
      </c>
    </row>
    <row r="117" spans="1:2" x14ac:dyDescent="0.25">
      <c r="A117" s="5">
        <v>1.3380000000000001</v>
      </c>
      <c r="B117" s="32">
        <v>5.4019893243069106E-3</v>
      </c>
    </row>
    <row r="118" spans="1:2" x14ac:dyDescent="0.25">
      <c r="A118" s="5">
        <v>1.3979999999999999</v>
      </c>
      <c r="B118" s="32">
        <v>0</v>
      </c>
    </row>
    <row r="119" spans="1:2" x14ac:dyDescent="0.25">
      <c r="A119" s="5">
        <v>1.4590000000000001</v>
      </c>
      <c r="B119" s="32">
        <v>0</v>
      </c>
    </row>
    <row r="120" spans="1:2" x14ac:dyDescent="0.25">
      <c r="A120" s="5">
        <v>1.52</v>
      </c>
      <c r="B120" s="32">
        <v>0</v>
      </c>
    </row>
    <row r="121" spans="1:2" x14ac:dyDescent="0.25">
      <c r="A121" s="5">
        <v>1.581</v>
      </c>
      <c r="B121" s="32">
        <v>0</v>
      </c>
    </row>
    <row r="122" spans="1:2" x14ac:dyDescent="0.25">
      <c r="A122" s="5">
        <v>1.6419999999999999</v>
      </c>
      <c r="B122" s="32">
        <v>0</v>
      </c>
    </row>
    <row r="123" spans="1:2" x14ac:dyDescent="0.25">
      <c r="A123" s="5">
        <v>1.702</v>
      </c>
      <c r="B123" s="32">
        <v>0</v>
      </c>
    </row>
    <row r="124" spans="1:2" x14ac:dyDescent="0.25">
      <c r="A124" s="5">
        <v>1.7629999999999999</v>
      </c>
      <c r="B124" s="32">
        <v>0</v>
      </c>
    </row>
    <row r="125" spans="1:2" x14ac:dyDescent="0.25">
      <c r="A125" s="5">
        <v>1.8240000000000001</v>
      </c>
      <c r="B125" s="32">
        <v>0</v>
      </c>
    </row>
    <row r="126" spans="1:2" x14ac:dyDescent="0.25">
      <c r="A126" s="5">
        <v>1.885</v>
      </c>
      <c r="B126" s="32">
        <v>0</v>
      </c>
    </row>
    <row r="127" spans="1:2" x14ac:dyDescent="0.25">
      <c r="A127" s="5">
        <v>1.946</v>
      </c>
      <c r="B127" s="32">
        <v>0</v>
      </c>
    </row>
    <row r="128" spans="1:2" x14ac:dyDescent="0.25">
      <c r="A128" s="5">
        <v>2.0059999999999998</v>
      </c>
      <c r="B128" s="32">
        <v>0</v>
      </c>
    </row>
    <row r="129" spans="1:2" x14ac:dyDescent="0.25">
      <c r="A129" s="5">
        <v>2.0670000000000002</v>
      </c>
      <c r="B129" s="32">
        <v>0</v>
      </c>
    </row>
    <row r="130" spans="1:2" x14ac:dyDescent="0.25">
      <c r="A130" s="5">
        <v>2.1280000000000001</v>
      </c>
      <c r="B130" s="32">
        <v>0</v>
      </c>
    </row>
    <row r="131" spans="1:2" x14ac:dyDescent="0.25">
      <c r="A131" s="5">
        <v>2.1890000000000001</v>
      </c>
      <c r="B131" s="32">
        <v>0</v>
      </c>
    </row>
    <row r="132" spans="1:2" x14ac:dyDescent="0.25">
      <c r="A132" s="5">
        <v>2.25</v>
      </c>
      <c r="B132" s="32">
        <v>0</v>
      </c>
    </row>
    <row r="133" spans="1:2" x14ac:dyDescent="0.25">
      <c r="A133" s="5">
        <v>2.31</v>
      </c>
      <c r="B133" s="32">
        <v>0</v>
      </c>
    </row>
    <row r="134" spans="1:2" x14ac:dyDescent="0.25">
      <c r="A134" s="5">
        <v>2.371</v>
      </c>
      <c r="B134" s="32">
        <v>0</v>
      </c>
    </row>
    <row r="135" spans="1:2" x14ac:dyDescent="0.25">
      <c r="A135" s="5">
        <v>2.4319999999999999</v>
      </c>
      <c r="B135" s="32">
        <v>0</v>
      </c>
    </row>
    <row r="136" spans="1:2" x14ac:dyDescent="0.25">
      <c r="A136" s="5">
        <v>2.4929999999999999</v>
      </c>
      <c r="B136" s="32">
        <v>0</v>
      </c>
    </row>
    <row r="137" spans="1:2" x14ac:dyDescent="0.25">
      <c r="A137" s="5">
        <v>2.5539999999999998</v>
      </c>
      <c r="B137" s="32">
        <v>0</v>
      </c>
    </row>
    <row r="138" spans="1:2" x14ac:dyDescent="0.25">
      <c r="A138" s="5">
        <v>2.6139999999999999</v>
      </c>
      <c r="B138" s="32">
        <v>0</v>
      </c>
    </row>
    <row r="139" spans="1:2" x14ac:dyDescent="0.25">
      <c r="A139" s="5">
        <v>2.6749999999999998</v>
      </c>
      <c r="B139" s="32">
        <v>0</v>
      </c>
    </row>
    <row r="140" spans="1:2" x14ac:dyDescent="0.25">
      <c r="A140" s="5">
        <v>2.7360000000000002</v>
      </c>
      <c r="B140" s="32">
        <v>0</v>
      </c>
    </row>
    <row r="141" spans="1:2" x14ac:dyDescent="0.25">
      <c r="A141" s="5">
        <v>2.7970000000000002</v>
      </c>
      <c r="B141" s="32">
        <v>0</v>
      </c>
    </row>
    <row r="142" spans="1:2" x14ac:dyDescent="0.25">
      <c r="A142" s="5">
        <v>2.8580000000000001</v>
      </c>
      <c r="B142" s="32">
        <v>0</v>
      </c>
    </row>
    <row r="143" spans="1:2" x14ac:dyDescent="0.25">
      <c r="A143" s="5">
        <v>2.9180000000000001</v>
      </c>
      <c r="B143" s="32">
        <v>0</v>
      </c>
    </row>
    <row r="144" spans="1:2" x14ac:dyDescent="0.25">
      <c r="A144" s="5">
        <v>2.9790000000000001</v>
      </c>
      <c r="B144" s="32">
        <v>0</v>
      </c>
    </row>
    <row r="145" spans="1:2" x14ac:dyDescent="0.25">
      <c r="A145" s="5">
        <v>3.04</v>
      </c>
      <c r="B145" s="32">
        <v>0</v>
      </c>
    </row>
    <row r="146" spans="1:2" x14ac:dyDescent="0.25">
      <c r="A146" s="5">
        <v>3.101</v>
      </c>
      <c r="B146" s="32">
        <v>0</v>
      </c>
    </row>
    <row r="147" spans="1:2" x14ac:dyDescent="0.25">
      <c r="A147" s="5">
        <v>3.1619999999999999</v>
      </c>
      <c r="B147" s="32">
        <v>0</v>
      </c>
    </row>
    <row r="148" spans="1:2" x14ac:dyDescent="0.25">
      <c r="A148" s="5">
        <v>3.222</v>
      </c>
      <c r="B148" s="32">
        <v>0</v>
      </c>
    </row>
    <row r="149" spans="1:2" x14ac:dyDescent="0.25">
      <c r="A149" s="5">
        <v>3.2829999999999999</v>
      </c>
      <c r="B149" s="32">
        <v>0</v>
      </c>
    </row>
    <row r="150" spans="1:2" x14ac:dyDescent="0.25">
      <c r="A150" s="5">
        <v>3.3439999999999999</v>
      </c>
      <c r="B150" s="32">
        <v>0</v>
      </c>
    </row>
    <row r="151" spans="1:2" x14ac:dyDescent="0.25">
      <c r="A151" s="5">
        <v>3.4049999999999998</v>
      </c>
      <c r="B151" s="32">
        <v>0</v>
      </c>
    </row>
    <row r="152" spans="1:2" x14ac:dyDescent="0.25">
      <c r="A152" s="5">
        <v>3.4660000000000002</v>
      </c>
      <c r="B152" s="32">
        <v>0</v>
      </c>
    </row>
    <row r="153" spans="1:2" x14ac:dyDescent="0.25">
      <c r="A153" s="5">
        <v>3.5259999999999998</v>
      </c>
      <c r="B153" s="32">
        <v>0</v>
      </c>
    </row>
    <row r="154" spans="1:2" x14ac:dyDescent="0.25">
      <c r="A154" s="5">
        <v>3.5870000000000002</v>
      </c>
      <c r="B154" s="32">
        <v>0</v>
      </c>
    </row>
    <row r="155" spans="1:2" x14ac:dyDescent="0.25">
      <c r="A155" s="5">
        <v>3.6480000000000001</v>
      </c>
      <c r="B155" s="32">
        <v>0</v>
      </c>
    </row>
    <row r="156" spans="1:2" x14ac:dyDescent="0.25">
      <c r="A156" s="5">
        <v>3.7090000000000001</v>
      </c>
      <c r="B156" s="32">
        <v>0</v>
      </c>
    </row>
    <row r="157" spans="1:2" x14ac:dyDescent="0.25">
      <c r="A157" s="5">
        <v>3.77</v>
      </c>
      <c r="B157" s="32">
        <v>0</v>
      </c>
    </row>
    <row r="158" spans="1:2" x14ac:dyDescent="0.25">
      <c r="A158" s="5">
        <v>3.83</v>
      </c>
      <c r="B158" s="32">
        <v>0</v>
      </c>
    </row>
    <row r="159" spans="1:2" x14ac:dyDescent="0.25">
      <c r="A159" s="5">
        <v>3.891</v>
      </c>
      <c r="B159" s="32">
        <v>0</v>
      </c>
    </row>
    <row r="160" spans="1:2" x14ac:dyDescent="0.25">
      <c r="A160" s="5">
        <v>3.952</v>
      </c>
      <c r="B160" s="32">
        <v>0</v>
      </c>
    </row>
    <row r="161" spans="1:2" x14ac:dyDescent="0.25">
      <c r="A161" s="8">
        <v>4.0129999999999999</v>
      </c>
      <c r="B161" s="35">
        <v>0</v>
      </c>
    </row>
  </sheetData>
  <sheetProtection algorithmName="SHA-512" hashValue="Hi6lLotNXz0xTUcdj/rOKGxyhcA7LlpMOksMw7/u9X8hMRxqSNepFC3ZQ8PUTrfzIDQiuRc3/N6W1KdhpMZfQw==" saltValue="6m9qcN2uNPgY2hFnco0jP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AH127"/>
  <sheetViews>
    <sheetView workbookViewId="0">
      <selection activeCell="B37" sqref="B3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0.13000000000000009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20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0</v>
      </c>
      <c r="B42" s="6">
        <v>79.751009717984459</v>
      </c>
      <c r="C42" s="6">
        <f>79.7510097179844 * $B$37 / 100</f>
        <v>79.751009717984402</v>
      </c>
      <c r="D42" s="6">
        <v>10.048450000000001</v>
      </c>
      <c r="E42" s="7">
        <f>10.04845 * $B$37 / 100</f>
        <v>10.048450000000001</v>
      </c>
    </row>
    <row r="43" spans="1:5" x14ac:dyDescent="0.25">
      <c r="A43" s="5">
        <v>5</v>
      </c>
      <c r="B43" s="6">
        <v>80.230925589516588</v>
      </c>
      <c r="C43" s="6">
        <f>80.2309255895165 * $B$37 / 100</f>
        <v>80.230925589516502</v>
      </c>
      <c r="D43" s="6">
        <v>10.108918333333341</v>
      </c>
      <c r="E43" s="7">
        <f>10.1089183333333 * $B$37 / 100</f>
        <v>10.1089183333333</v>
      </c>
    </row>
    <row r="44" spans="1:5" x14ac:dyDescent="0.25">
      <c r="A44" s="5">
        <v>10</v>
      </c>
      <c r="B44" s="6">
        <v>80.710841461048716</v>
      </c>
      <c r="C44" s="6">
        <f>80.7108414610487 * $B$37 / 100</f>
        <v>80.710841461048702</v>
      </c>
      <c r="D44" s="6">
        <v>10.16938666666667</v>
      </c>
      <c r="E44" s="7">
        <f>10.1693866666666 * $B$37 / 100</f>
        <v>10.1693866666666</v>
      </c>
    </row>
    <row r="45" spans="1:5" x14ac:dyDescent="0.25">
      <c r="A45" s="5">
        <v>15</v>
      </c>
      <c r="B45" s="6">
        <v>81.19075733258083</v>
      </c>
      <c r="C45" s="6">
        <f>81.1907573325808 * $B$37 / 100</f>
        <v>81.190757332580802</v>
      </c>
      <c r="D45" s="6">
        <v>10.229855000000001</v>
      </c>
      <c r="E45" s="7">
        <f>10.229855 * $B$37 / 100</f>
        <v>10.229855000000001</v>
      </c>
    </row>
    <row r="46" spans="1:5" x14ac:dyDescent="0.25">
      <c r="A46" s="5">
        <v>20</v>
      </c>
      <c r="B46" s="6">
        <v>81.670673204112958</v>
      </c>
      <c r="C46" s="6">
        <f>81.6706732041129 * $B$37 / 100</f>
        <v>81.670673204112902</v>
      </c>
      <c r="D46" s="6">
        <v>10.29032333333334</v>
      </c>
      <c r="E46" s="7">
        <f>10.2903233333333 * $B$37 / 100</f>
        <v>10.2903233333333</v>
      </c>
    </row>
    <row r="47" spans="1:5" x14ac:dyDescent="0.25">
      <c r="A47" s="5">
        <v>25</v>
      </c>
      <c r="B47" s="6">
        <v>82.150589075645087</v>
      </c>
      <c r="C47" s="6">
        <f>82.150589075645 * $B$37 / 100</f>
        <v>82.150589075645001</v>
      </c>
      <c r="D47" s="6">
        <v>10.350791666666669</v>
      </c>
      <c r="E47" s="7">
        <f>10.3507916666666 * $B$37 / 100</f>
        <v>10.3507916666666</v>
      </c>
    </row>
    <row r="48" spans="1:5" x14ac:dyDescent="0.25">
      <c r="A48" s="5">
        <v>30</v>
      </c>
      <c r="B48" s="6">
        <v>82.630504947177201</v>
      </c>
      <c r="C48" s="6">
        <f>82.6305049471772 * $B$37 / 100</f>
        <v>82.630504947177201</v>
      </c>
      <c r="D48" s="6">
        <v>10.41126</v>
      </c>
      <c r="E48" s="7">
        <f>10.41126 * $B$37 / 100</f>
        <v>10.41126</v>
      </c>
    </row>
    <row r="49" spans="1:18" x14ac:dyDescent="0.25">
      <c r="A49" s="5">
        <v>35</v>
      </c>
      <c r="B49" s="6">
        <v>83.110420818709329</v>
      </c>
      <c r="C49" s="6">
        <f>83.1104208187093 * $B$37 / 100</f>
        <v>83.110420818709301</v>
      </c>
      <c r="D49" s="6">
        <v>10.47172833333333</v>
      </c>
      <c r="E49" s="7">
        <f>10.4717283333333 * $B$37 / 100</f>
        <v>10.471728333333299</v>
      </c>
    </row>
    <row r="50" spans="1:18" x14ac:dyDescent="0.25">
      <c r="A50" s="5">
        <v>40</v>
      </c>
      <c r="B50" s="6">
        <v>83.590336690241458</v>
      </c>
      <c r="C50" s="6">
        <f>83.5903366902414 * $B$37 / 100</f>
        <v>83.590336690241401</v>
      </c>
      <c r="D50" s="6">
        <v>10.532196666666669</v>
      </c>
      <c r="E50" s="7">
        <f>10.5321966666666 * $B$37 / 100</f>
        <v>10.5321966666666</v>
      </c>
    </row>
    <row r="51" spans="1:18" x14ac:dyDescent="0.25">
      <c r="A51" s="5">
        <v>45</v>
      </c>
      <c r="B51" s="6">
        <v>84.070252561773586</v>
      </c>
      <c r="C51" s="6">
        <f>84.0702525617735 * $B$37 / 100</f>
        <v>84.070252561773501</v>
      </c>
      <c r="D51" s="6">
        <v>10.592665</v>
      </c>
      <c r="E51" s="7">
        <f>10.592665 * $B$37 / 100</f>
        <v>10.592665</v>
      </c>
    </row>
    <row r="52" spans="1:18" x14ac:dyDescent="0.25">
      <c r="A52" s="5">
        <v>50</v>
      </c>
      <c r="B52" s="6">
        <v>84.550168433305714</v>
      </c>
      <c r="C52" s="6">
        <f>84.5501684333057 * $B$37 / 100</f>
        <v>84.5501684333057</v>
      </c>
      <c r="D52" s="6">
        <v>10.653133333333329</v>
      </c>
      <c r="E52" s="7">
        <f>10.6531333333333 * $B$37 / 100</f>
        <v>10.653133333333299</v>
      </c>
    </row>
    <row r="53" spans="1:18" x14ac:dyDescent="0.25">
      <c r="A53" s="5">
        <v>55</v>
      </c>
      <c r="B53" s="6">
        <v>85.030084304837828</v>
      </c>
      <c r="C53" s="6">
        <f>85.0300843048378 * $B$37 / 100</f>
        <v>85.0300843048378</v>
      </c>
      <c r="D53" s="6">
        <v>10.713601666666669</v>
      </c>
      <c r="E53" s="7">
        <f>10.7136016666666 * $B$37 / 100</f>
        <v>10.7136016666666</v>
      </c>
    </row>
    <row r="54" spans="1:18" x14ac:dyDescent="0.25">
      <c r="A54" s="5">
        <v>60</v>
      </c>
      <c r="B54" s="6">
        <v>85.510000176369957</v>
      </c>
      <c r="C54" s="6">
        <f>85.5100001763699 * $B$37 / 100</f>
        <v>85.5100001763699</v>
      </c>
      <c r="D54" s="6">
        <v>10.77407</v>
      </c>
      <c r="E54" s="7">
        <f>10.77407 * $B$37 / 100</f>
        <v>10.77407</v>
      </c>
    </row>
    <row r="55" spans="1:18" x14ac:dyDescent="0.25">
      <c r="A55" s="5">
        <v>65</v>
      </c>
      <c r="B55" s="6">
        <v>85.989916047902085</v>
      </c>
      <c r="C55" s="6">
        <f>85.989916047902 * $B$37 / 100</f>
        <v>85.989916047902</v>
      </c>
      <c r="D55" s="6">
        <v>10.834538333333329</v>
      </c>
      <c r="E55" s="7">
        <f>10.8345383333333 * $B$37 / 100</f>
        <v>10.834538333333301</v>
      </c>
    </row>
    <row r="56" spans="1:18" x14ac:dyDescent="0.25">
      <c r="A56" s="5">
        <v>70</v>
      </c>
      <c r="B56" s="6">
        <v>86.469831919434199</v>
      </c>
      <c r="C56" s="6">
        <f>86.4698319194342 * $B$37 / 100</f>
        <v>86.469831919434199</v>
      </c>
      <c r="D56" s="6">
        <v>10.895006666666671</v>
      </c>
      <c r="E56" s="7">
        <f>10.8950066666666 * $B$37 / 100</f>
        <v>10.8950066666666</v>
      </c>
    </row>
    <row r="57" spans="1:18" x14ac:dyDescent="0.25">
      <c r="A57" s="5">
        <v>75</v>
      </c>
      <c r="B57" s="6">
        <v>86.949747790966327</v>
      </c>
      <c r="C57" s="6">
        <f>86.9497477909663 * $B$37 / 100</f>
        <v>86.949747790966299</v>
      </c>
      <c r="D57" s="6">
        <v>10.955475</v>
      </c>
      <c r="E57" s="7">
        <f>10.955475 * $B$37 / 100</f>
        <v>10.955475</v>
      </c>
    </row>
    <row r="58" spans="1:18" x14ac:dyDescent="0.25">
      <c r="A58" s="8">
        <v>80</v>
      </c>
      <c r="B58" s="9">
        <v>87.429663662498456</v>
      </c>
      <c r="C58" s="9">
        <f>87.4296636624984 * $B$37 / 100</f>
        <v>87.429663662498399</v>
      </c>
      <c r="D58" s="9">
        <v>11.015943333333331</v>
      </c>
      <c r="E58" s="10">
        <f>11.0159433333333 * $B$37 / 100</f>
        <v>11.015943333333301</v>
      </c>
    </row>
    <row r="60" spans="1:18" ht="28.9" customHeight="1" x14ac:dyDescent="0.5">
      <c r="A60" s="1" t="s">
        <v>25</v>
      </c>
      <c r="B60" s="1"/>
    </row>
    <row r="61" spans="1:18" x14ac:dyDescent="0.25">
      <c r="A61" s="21" t="s">
        <v>26</v>
      </c>
      <c r="B61" s="22">
        <v>0</v>
      </c>
      <c r="C61" s="22">
        <v>6.25</v>
      </c>
      <c r="D61" s="22">
        <v>12.5</v>
      </c>
      <c r="E61" s="22">
        <v>18.75</v>
      </c>
      <c r="F61" s="22">
        <v>25</v>
      </c>
      <c r="G61" s="22">
        <v>31.25</v>
      </c>
      <c r="H61" s="22">
        <v>37.5</v>
      </c>
      <c r="I61" s="22">
        <v>43.75</v>
      </c>
      <c r="J61" s="22">
        <v>50</v>
      </c>
      <c r="K61" s="22">
        <v>56.25</v>
      </c>
      <c r="L61" s="22">
        <v>62.5</v>
      </c>
      <c r="M61" s="22">
        <v>68.75</v>
      </c>
      <c r="N61" s="22">
        <v>75</v>
      </c>
      <c r="O61" s="22">
        <v>81.25</v>
      </c>
      <c r="P61" s="22">
        <v>87.5</v>
      </c>
      <c r="Q61" s="22">
        <v>93.75</v>
      </c>
      <c r="R61" s="23">
        <v>100</v>
      </c>
    </row>
    <row r="62" spans="1:18" x14ac:dyDescent="0.25">
      <c r="A62" s="5" t="s">
        <v>27</v>
      </c>
      <c r="B62" s="6">
        <f>0 * $B$39 + (1 - 0) * $B$38</f>
        <v>14.7</v>
      </c>
      <c r="C62" s="6">
        <f>0.0625 * $B$39 + (1 - 0.0625) * $B$38</f>
        <v>14.344250000000001</v>
      </c>
      <c r="D62" s="6">
        <f>0.125 * $B$39 + (1 - 0.125) * $B$38</f>
        <v>13.988499999999998</v>
      </c>
      <c r="E62" s="6">
        <f>0.1875 * $B$39 + (1 - 0.1875) * $B$38</f>
        <v>13.63275</v>
      </c>
      <c r="F62" s="6">
        <f>0.25 * $B$39 + (1 - 0.25) * $B$38</f>
        <v>13.276999999999997</v>
      </c>
      <c r="G62" s="6">
        <f>0.3125 * $B$39 + (1 - 0.3125) * $B$38</f>
        <v>12.921249999999999</v>
      </c>
      <c r="H62" s="6">
        <f>0.375 * $B$39 + (1 - 0.375) * $B$38</f>
        <v>12.5655</v>
      </c>
      <c r="I62" s="6">
        <f>0.4375 * $B$39 + (1 - 0.4375) * $B$38</f>
        <v>12.20975</v>
      </c>
      <c r="J62" s="6">
        <f>0.5 * $B$39 + (1 - 0.5) * $B$38</f>
        <v>11.853999999999999</v>
      </c>
      <c r="K62" s="6">
        <f>0.5625 * $B$39 + (1 - 0.5625) * $B$38</f>
        <v>11.498249999999999</v>
      </c>
      <c r="L62" s="6">
        <f>0.625 * $B$39 + (1 - 0.625) * $B$38</f>
        <v>11.142499999999998</v>
      </c>
      <c r="M62" s="6">
        <f>0.6875 * $B$39 + (1 - 0.6875) * $B$38</f>
        <v>10.78675</v>
      </c>
      <c r="N62" s="6">
        <f>0.75 * $B$39 + (1 - 0.75) * $B$38</f>
        <v>10.430999999999999</v>
      </c>
      <c r="O62" s="6">
        <f>0.8125 * $B$39 + (1 - 0.8125) * $B$38</f>
        <v>10.075249999999999</v>
      </c>
      <c r="P62" s="6">
        <f>0.875 * $B$39 + (1 - 0.875) * $B$38</f>
        <v>9.7195</v>
      </c>
      <c r="Q62" s="6">
        <f>0.9375 * $B$39 + (1 - 0.9375) * $B$38</f>
        <v>9.3637499999999978</v>
      </c>
      <c r="R62" s="7">
        <f>1 * $B$39 + (1 - 1) * $B$38</f>
        <v>9.0079999999999991</v>
      </c>
    </row>
    <row r="63" spans="1:18" x14ac:dyDescent="0.25">
      <c r="A63" s="8" t="s">
        <v>28</v>
      </c>
      <c r="B63" s="9">
        <f>(0 * $B$39 + (1 - 0) * $B$38) * $B$37 / 100</f>
        <v>14.7</v>
      </c>
      <c r="C63" s="9">
        <f>(0.0625 * $B$39 + (1 - 0.0625) * $B$38) * $B$37 / 100</f>
        <v>14.344249999999999</v>
      </c>
      <c r="D63" s="9">
        <f>(0.125 * $B$39 + (1 - 0.125) * $B$38) * $B$37 / 100</f>
        <v>13.988499999999998</v>
      </c>
      <c r="E63" s="9">
        <f>(0.1875 * $B$39 + (1 - 0.1875) * $B$38) * $B$37 / 100</f>
        <v>13.632749999999998</v>
      </c>
      <c r="F63" s="9">
        <f>(0.25 * $B$39 + (1 - 0.25) * $B$38) * $B$37 / 100</f>
        <v>13.276999999999997</v>
      </c>
      <c r="G63" s="9">
        <f>(0.3125 * $B$39 + (1 - 0.3125) * $B$38) * $B$37 / 100</f>
        <v>12.921249999999997</v>
      </c>
      <c r="H63" s="9">
        <f>(0.375 * $B$39 + (1 - 0.375) * $B$38) * $B$37 / 100</f>
        <v>12.5655</v>
      </c>
      <c r="I63" s="9">
        <f>(0.4375 * $B$39 + (1 - 0.4375) * $B$38) * $B$37 / 100</f>
        <v>12.20975</v>
      </c>
      <c r="J63" s="9">
        <f>(0.5 * $B$39 + (1 - 0.5) * $B$38) * $B$37 / 100</f>
        <v>11.853999999999999</v>
      </c>
      <c r="K63" s="9">
        <f>(0.5625 * $B$39 + (1 - 0.5625) * $B$38) * $B$37 / 100</f>
        <v>11.498249999999999</v>
      </c>
      <c r="L63" s="9">
        <f>(0.625 * $B$39 + (1 - 0.625) * $B$38) * $B$37 / 100</f>
        <v>11.142499999999998</v>
      </c>
      <c r="M63" s="9">
        <f>(0.6875 * $B$39 + (1 - 0.6875) * $B$38) * $B$37 / 100</f>
        <v>10.78675</v>
      </c>
      <c r="N63" s="9">
        <f>(0.75 * $B$39 + (1 - 0.75) * $B$38) * $B$37 / 100</f>
        <v>10.430999999999999</v>
      </c>
      <c r="O63" s="9">
        <f>(0.8125 * $B$39 + (1 - 0.8125) * $B$38) * $B$37 / 100</f>
        <v>10.075249999999999</v>
      </c>
      <c r="P63" s="9">
        <f>(0.875 * $B$39 + (1 - 0.875) * $B$38) * $B$37 / 100</f>
        <v>9.7195</v>
      </c>
      <c r="Q63" s="9">
        <f>(0.9375 * $B$39 + (1 - 0.9375) * $B$38) * $B$37 / 100</f>
        <v>9.3637499999999978</v>
      </c>
      <c r="R63" s="10">
        <f>(1 * $B$39 + (1 - 1) * $B$38) * $B$37 / 100</f>
        <v>9.0079999999999991</v>
      </c>
    </row>
    <row r="65" spans="1:34" ht="28.9" customHeight="1" x14ac:dyDescent="0.5">
      <c r="A65" s="1" t="s">
        <v>29</v>
      </c>
      <c r="B65" s="1"/>
    </row>
    <row r="66" spans="1:34" x14ac:dyDescent="0.25">
      <c r="A66" s="24" t="s">
        <v>30</v>
      </c>
      <c r="B66" s="25" t="s">
        <v>31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6"/>
    </row>
    <row r="67" spans="1:34" x14ac:dyDescent="0.25">
      <c r="A67" s="27" t="s">
        <v>20</v>
      </c>
      <c r="B67" s="28">
        <v>4.5</v>
      </c>
      <c r="C67" s="28">
        <v>5</v>
      </c>
      <c r="D67" s="28">
        <v>5.5</v>
      </c>
      <c r="E67" s="28">
        <v>6</v>
      </c>
      <c r="F67" s="28">
        <v>6.5</v>
      </c>
      <c r="G67" s="28">
        <v>7</v>
      </c>
      <c r="H67" s="28">
        <v>7.5</v>
      </c>
      <c r="I67" s="28">
        <v>8</v>
      </c>
      <c r="J67" s="28">
        <v>8.5</v>
      </c>
      <c r="K67" s="28">
        <v>9</v>
      </c>
      <c r="L67" s="28">
        <v>9.5</v>
      </c>
      <c r="M67" s="28">
        <v>10</v>
      </c>
      <c r="N67" s="28">
        <v>10.5</v>
      </c>
      <c r="O67" s="28">
        <v>11</v>
      </c>
      <c r="P67" s="28">
        <v>11.5</v>
      </c>
      <c r="Q67" s="28">
        <v>12</v>
      </c>
      <c r="R67" s="28">
        <v>12.5</v>
      </c>
      <c r="S67" s="28">
        <v>13</v>
      </c>
      <c r="T67" s="28">
        <v>13.5</v>
      </c>
      <c r="U67" s="28">
        <v>14</v>
      </c>
      <c r="V67" s="28">
        <v>14.5</v>
      </c>
      <c r="W67" s="28">
        <v>15</v>
      </c>
      <c r="X67" s="28">
        <v>15.5</v>
      </c>
      <c r="Y67" s="28">
        <v>16</v>
      </c>
      <c r="Z67" s="28">
        <v>16.5</v>
      </c>
      <c r="AA67" s="28">
        <v>17</v>
      </c>
      <c r="AB67" s="28">
        <v>17.5</v>
      </c>
      <c r="AC67" s="28">
        <v>18</v>
      </c>
      <c r="AD67" s="28">
        <v>18.5</v>
      </c>
      <c r="AE67" s="28">
        <v>19</v>
      </c>
      <c r="AF67" s="28">
        <v>19.5</v>
      </c>
      <c r="AG67" s="28">
        <v>20</v>
      </c>
      <c r="AH67" s="29">
        <v>20.5</v>
      </c>
    </row>
    <row r="68" spans="1:34" x14ac:dyDescent="0.25">
      <c r="A68" s="30">
        <v>0</v>
      </c>
      <c r="B68" s="31">
        <v>2.459000000000001</v>
      </c>
      <c r="C68" s="31">
        <v>2.459000000000001</v>
      </c>
      <c r="D68" s="31">
        <v>2.459000000000001</v>
      </c>
      <c r="E68" s="31">
        <v>2.459000000000001</v>
      </c>
      <c r="F68" s="31">
        <v>2.459000000000001</v>
      </c>
      <c r="G68" s="31">
        <v>2.4590000000000001</v>
      </c>
      <c r="H68" s="31">
        <v>2.459000000000001</v>
      </c>
      <c r="I68" s="31">
        <v>2.459000000000001</v>
      </c>
      <c r="J68" s="31">
        <v>2.2667500000000009</v>
      </c>
      <c r="K68" s="31">
        <v>2.0745</v>
      </c>
      <c r="L68" s="31">
        <v>1.88225</v>
      </c>
      <c r="M68" s="31">
        <v>1.6900000000000011</v>
      </c>
      <c r="N68" s="31">
        <v>1.5780000000000001</v>
      </c>
      <c r="O68" s="31">
        <v>1.466</v>
      </c>
      <c r="P68" s="31">
        <v>1.378000000000001</v>
      </c>
      <c r="Q68" s="31">
        <v>1.29</v>
      </c>
      <c r="R68" s="31">
        <v>1.2390000000000001</v>
      </c>
      <c r="S68" s="31">
        <v>1.1879999999999999</v>
      </c>
      <c r="T68" s="31">
        <v>1.129</v>
      </c>
      <c r="U68" s="31">
        <v>1.07</v>
      </c>
      <c r="V68" s="31">
        <v>1.024</v>
      </c>
      <c r="W68" s="31">
        <v>0.97800000000000031</v>
      </c>
      <c r="X68" s="31">
        <v>0.93450000000000033</v>
      </c>
      <c r="Y68" s="31">
        <v>0.89100000000000024</v>
      </c>
      <c r="Z68" s="31">
        <v>0.86650000000000016</v>
      </c>
      <c r="AA68" s="31">
        <v>0.84200000000000008</v>
      </c>
      <c r="AB68" s="31">
        <v>0.81600000000000006</v>
      </c>
      <c r="AC68" s="31">
        <v>0.81599999999999995</v>
      </c>
      <c r="AD68" s="31">
        <v>0.81600000000000017</v>
      </c>
      <c r="AE68" s="31">
        <v>0.81600000000000028</v>
      </c>
      <c r="AF68" s="31">
        <v>0.81600000000000028</v>
      </c>
      <c r="AG68" s="31">
        <v>0.81600000000000028</v>
      </c>
      <c r="AH68" s="32">
        <v>0.81600000000000028</v>
      </c>
    </row>
    <row r="69" spans="1:34" x14ac:dyDescent="0.25">
      <c r="A69" s="30">
        <v>5</v>
      </c>
      <c r="B69" s="31">
        <v>2.4709500000000011</v>
      </c>
      <c r="C69" s="31">
        <v>2.4709499999999989</v>
      </c>
      <c r="D69" s="31">
        <v>2.4709500000000011</v>
      </c>
      <c r="E69" s="31">
        <v>2.4709500000000011</v>
      </c>
      <c r="F69" s="31">
        <v>2.4709500000000011</v>
      </c>
      <c r="G69" s="31">
        <v>2.4709500000000002</v>
      </c>
      <c r="H69" s="31">
        <v>2.4709500000000011</v>
      </c>
      <c r="I69" s="31">
        <v>2.4709500000000002</v>
      </c>
      <c r="J69" s="31">
        <v>2.276825000000001</v>
      </c>
      <c r="K69" s="31">
        <v>2.0827</v>
      </c>
      <c r="L69" s="31">
        <v>1.8885749999999999</v>
      </c>
      <c r="M69" s="31">
        <v>1.69445</v>
      </c>
      <c r="N69" s="31">
        <v>1.583575</v>
      </c>
      <c r="O69" s="31">
        <v>1.4726999999999999</v>
      </c>
      <c r="P69" s="31">
        <v>1.382975000000001</v>
      </c>
      <c r="Q69" s="31">
        <v>1.29325</v>
      </c>
      <c r="R69" s="31">
        <v>1.2420500000000001</v>
      </c>
      <c r="S69" s="31">
        <v>1.19085</v>
      </c>
      <c r="T69" s="31">
        <v>1.132425</v>
      </c>
      <c r="U69" s="31">
        <v>1.0740000000000001</v>
      </c>
      <c r="V69" s="31">
        <v>1.0279499999999999</v>
      </c>
      <c r="W69" s="31">
        <v>0.9819</v>
      </c>
      <c r="X69" s="31">
        <v>0.93797500000000034</v>
      </c>
      <c r="Y69" s="31">
        <v>0.89405000000000001</v>
      </c>
      <c r="Z69" s="31">
        <v>0.86920000000000008</v>
      </c>
      <c r="AA69" s="31">
        <v>0.84435000000000004</v>
      </c>
      <c r="AB69" s="31">
        <v>0.81834999999999991</v>
      </c>
      <c r="AC69" s="31">
        <v>0.81835000000000013</v>
      </c>
      <c r="AD69" s="31">
        <v>0.81835000000000002</v>
      </c>
      <c r="AE69" s="31">
        <v>0.81835000000000024</v>
      </c>
      <c r="AF69" s="31">
        <v>0.81835000000000035</v>
      </c>
      <c r="AG69" s="31">
        <v>0.81835000000000013</v>
      </c>
      <c r="AH69" s="32">
        <v>0.81835000000000013</v>
      </c>
    </row>
    <row r="70" spans="1:34" x14ac:dyDescent="0.25">
      <c r="A70" s="30">
        <v>10</v>
      </c>
      <c r="B70" s="31">
        <v>2.4828999999999999</v>
      </c>
      <c r="C70" s="31">
        <v>2.4829000000000012</v>
      </c>
      <c r="D70" s="31">
        <v>2.4829000000000012</v>
      </c>
      <c r="E70" s="31">
        <v>2.4828999999999999</v>
      </c>
      <c r="F70" s="31">
        <v>2.482899999999999</v>
      </c>
      <c r="G70" s="31">
        <v>2.4828999999999999</v>
      </c>
      <c r="H70" s="31">
        <v>2.4829000000000012</v>
      </c>
      <c r="I70" s="31">
        <v>2.4828999999999999</v>
      </c>
      <c r="J70" s="31">
        <v>2.2869000000000002</v>
      </c>
      <c r="K70" s="31">
        <v>2.0909</v>
      </c>
      <c r="L70" s="31">
        <v>1.8949</v>
      </c>
      <c r="M70" s="31">
        <v>1.6989000000000001</v>
      </c>
      <c r="N70" s="31">
        <v>1.589150000000001</v>
      </c>
      <c r="O70" s="31">
        <v>1.4794</v>
      </c>
      <c r="P70" s="31">
        <v>1.38795</v>
      </c>
      <c r="Q70" s="31">
        <v>1.2965</v>
      </c>
      <c r="R70" s="31">
        <v>1.245100000000001</v>
      </c>
      <c r="S70" s="31">
        <v>1.1937</v>
      </c>
      <c r="T70" s="31">
        <v>1.13585</v>
      </c>
      <c r="U70" s="31">
        <v>1.0780000000000001</v>
      </c>
      <c r="V70" s="31">
        <v>1.0319</v>
      </c>
      <c r="W70" s="31">
        <v>0.98580000000000023</v>
      </c>
      <c r="X70" s="31">
        <v>0.9414499999999999</v>
      </c>
      <c r="Y70" s="31">
        <v>0.89709999999999979</v>
      </c>
      <c r="Z70" s="31">
        <v>0.8718999999999999</v>
      </c>
      <c r="AA70" s="31">
        <v>0.8466999999999999</v>
      </c>
      <c r="AB70" s="31">
        <v>0.82070000000000021</v>
      </c>
      <c r="AC70" s="31">
        <v>0.8207000000000001</v>
      </c>
      <c r="AD70" s="31">
        <v>0.82070000000000043</v>
      </c>
      <c r="AE70" s="31">
        <v>0.82070000000000021</v>
      </c>
      <c r="AF70" s="31">
        <v>0.8207000000000001</v>
      </c>
      <c r="AG70" s="31">
        <v>0.82070000000000021</v>
      </c>
      <c r="AH70" s="32">
        <v>0.82070000000000021</v>
      </c>
    </row>
    <row r="71" spans="1:34" x14ac:dyDescent="0.25">
      <c r="A71" s="30">
        <v>15</v>
      </c>
      <c r="B71" s="31">
        <v>2.4948500000000009</v>
      </c>
      <c r="C71" s="31">
        <v>2.49485</v>
      </c>
      <c r="D71" s="31">
        <v>2.49485</v>
      </c>
      <c r="E71" s="31">
        <v>2.49485</v>
      </c>
      <c r="F71" s="31">
        <v>2.49485</v>
      </c>
      <c r="G71" s="31">
        <v>2.4948499999999991</v>
      </c>
      <c r="H71" s="31">
        <v>2.49485</v>
      </c>
      <c r="I71" s="31">
        <v>2.4948499999999991</v>
      </c>
      <c r="J71" s="31">
        <v>2.2969750000000011</v>
      </c>
      <c r="K71" s="31">
        <v>2.0991</v>
      </c>
      <c r="L71" s="31">
        <v>1.9012249999999999</v>
      </c>
      <c r="M71" s="31">
        <v>1.7033499999999999</v>
      </c>
      <c r="N71" s="31">
        <v>1.5947250000000011</v>
      </c>
      <c r="O71" s="31">
        <v>1.4861</v>
      </c>
      <c r="P71" s="31">
        <v>1.392925</v>
      </c>
      <c r="Q71" s="31">
        <v>1.29975</v>
      </c>
      <c r="R71" s="31">
        <v>1.2481500000000001</v>
      </c>
      <c r="S71" s="31">
        <v>1.19655</v>
      </c>
      <c r="T71" s="31">
        <v>1.139275</v>
      </c>
      <c r="U71" s="31">
        <v>1.0820000000000001</v>
      </c>
      <c r="V71" s="31">
        <v>1.0358499999999999</v>
      </c>
      <c r="W71" s="31">
        <v>0.98970000000000025</v>
      </c>
      <c r="X71" s="31">
        <v>0.9449249999999999</v>
      </c>
      <c r="Y71" s="31">
        <v>0.90015000000000001</v>
      </c>
      <c r="Z71" s="31">
        <v>0.87459999999999993</v>
      </c>
      <c r="AA71" s="31">
        <v>0.84904999999999997</v>
      </c>
      <c r="AB71" s="31">
        <v>0.82305000000000006</v>
      </c>
      <c r="AC71" s="31">
        <v>0.82304999999999984</v>
      </c>
      <c r="AD71" s="31">
        <v>0.82304999999999984</v>
      </c>
      <c r="AE71" s="31">
        <v>0.82304999999999995</v>
      </c>
      <c r="AF71" s="31">
        <v>0.82305000000000028</v>
      </c>
      <c r="AG71" s="31">
        <v>0.82304999999999995</v>
      </c>
      <c r="AH71" s="32">
        <v>0.82304999999999995</v>
      </c>
    </row>
    <row r="72" spans="1:34" x14ac:dyDescent="0.25">
      <c r="A72" s="30">
        <v>20</v>
      </c>
      <c r="B72" s="31">
        <v>2.5068000000000001</v>
      </c>
      <c r="C72" s="31">
        <v>2.5068000000000001</v>
      </c>
      <c r="D72" s="31">
        <v>2.5068000000000001</v>
      </c>
      <c r="E72" s="31">
        <v>2.5068000000000001</v>
      </c>
      <c r="F72" s="31">
        <v>2.5067999999999988</v>
      </c>
      <c r="G72" s="31">
        <v>2.5068000000000001</v>
      </c>
      <c r="H72" s="31">
        <v>2.506800000000001</v>
      </c>
      <c r="I72" s="31">
        <v>2.5068000000000001</v>
      </c>
      <c r="J72" s="31">
        <v>2.3070500000000012</v>
      </c>
      <c r="K72" s="31">
        <v>2.1073</v>
      </c>
      <c r="L72" s="31">
        <v>1.9075500000000001</v>
      </c>
      <c r="M72" s="31">
        <v>1.7078</v>
      </c>
      <c r="N72" s="31">
        <v>1.6003000000000001</v>
      </c>
      <c r="O72" s="31">
        <v>1.4927999999999999</v>
      </c>
      <c r="P72" s="31">
        <v>1.3978999999999999</v>
      </c>
      <c r="Q72" s="31">
        <v>1.3029999999999999</v>
      </c>
      <c r="R72" s="31">
        <v>1.2512000000000001</v>
      </c>
      <c r="S72" s="31">
        <v>1.1994</v>
      </c>
      <c r="T72" s="31">
        <v>1.1427</v>
      </c>
      <c r="U72" s="31">
        <v>1.0860000000000001</v>
      </c>
      <c r="V72" s="31">
        <v>1.0398000000000001</v>
      </c>
      <c r="W72" s="31">
        <v>0.99359999999999982</v>
      </c>
      <c r="X72" s="31">
        <v>0.94839999999999958</v>
      </c>
      <c r="Y72" s="31">
        <v>0.9032</v>
      </c>
      <c r="Z72" s="31">
        <v>0.87729999999999997</v>
      </c>
      <c r="AA72" s="31">
        <v>0.85139999999999971</v>
      </c>
      <c r="AB72" s="31">
        <v>0.82539999999999991</v>
      </c>
      <c r="AC72" s="31">
        <v>0.82540000000000002</v>
      </c>
      <c r="AD72" s="31">
        <v>0.82540000000000002</v>
      </c>
      <c r="AE72" s="31">
        <v>0.82540000000000024</v>
      </c>
      <c r="AF72" s="31">
        <v>0.82540000000000013</v>
      </c>
      <c r="AG72" s="31">
        <v>0.82539999999999991</v>
      </c>
      <c r="AH72" s="32">
        <v>0.82540000000000013</v>
      </c>
    </row>
    <row r="73" spans="1:34" x14ac:dyDescent="0.25">
      <c r="A73" s="30">
        <v>25</v>
      </c>
      <c r="B73" s="31">
        <v>2.5187499999999998</v>
      </c>
      <c r="C73" s="31">
        <v>2.5187499999999998</v>
      </c>
      <c r="D73" s="31">
        <v>2.5187500000000012</v>
      </c>
      <c r="E73" s="31">
        <v>2.5187499999999989</v>
      </c>
      <c r="F73" s="31">
        <v>2.5187499999999989</v>
      </c>
      <c r="G73" s="31">
        <v>2.5187499999999989</v>
      </c>
      <c r="H73" s="31">
        <v>2.5187499999999998</v>
      </c>
      <c r="I73" s="31">
        <v>2.5187499999999989</v>
      </c>
      <c r="J73" s="31">
        <v>2.3171249999999999</v>
      </c>
      <c r="K73" s="31">
        <v>2.115499999999999</v>
      </c>
      <c r="L73" s="31">
        <v>1.913875</v>
      </c>
      <c r="M73" s="31">
        <v>1.71225</v>
      </c>
      <c r="N73" s="31">
        <v>1.6058749999999999</v>
      </c>
      <c r="O73" s="31">
        <v>1.4994999999999989</v>
      </c>
      <c r="P73" s="31">
        <v>1.4028750000000001</v>
      </c>
      <c r="Q73" s="31">
        <v>1.3062499999999999</v>
      </c>
      <c r="R73" s="31">
        <v>1.2542500000000001</v>
      </c>
      <c r="S73" s="31">
        <v>1.20225</v>
      </c>
      <c r="T73" s="31">
        <v>1.1461250000000001</v>
      </c>
      <c r="U73" s="31">
        <v>1.0900000000000001</v>
      </c>
      <c r="V73" s="31">
        <v>1.04375</v>
      </c>
      <c r="W73" s="31">
        <v>0.99749999999999972</v>
      </c>
      <c r="X73" s="31">
        <v>0.95187500000000003</v>
      </c>
      <c r="Y73" s="31">
        <v>0.90624999999999989</v>
      </c>
      <c r="Z73" s="31">
        <v>0.87999999999999989</v>
      </c>
      <c r="AA73" s="31">
        <v>0.85374999999999979</v>
      </c>
      <c r="AB73" s="31">
        <v>0.82774999999999987</v>
      </c>
      <c r="AC73" s="31">
        <v>0.82774999999999987</v>
      </c>
      <c r="AD73" s="31">
        <v>0.82774999999999987</v>
      </c>
      <c r="AE73" s="31">
        <v>0.82775000000000021</v>
      </c>
      <c r="AF73" s="31">
        <v>0.82775000000000021</v>
      </c>
      <c r="AG73" s="31">
        <v>0.82774999999999987</v>
      </c>
      <c r="AH73" s="32">
        <v>0.82774999999999976</v>
      </c>
    </row>
    <row r="74" spans="1:34" x14ac:dyDescent="0.25">
      <c r="A74" s="30">
        <v>30</v>
      </c>
      <c r="B74" s="31">
        <v>2.5307000000000008</v>
      </c>
      <c r="C74" s="31">
        <v>2.5306999999999999</v>
      </c>
      <c r="D74" s="31">
        <v>2.5306999999999999</v>
      </c>
      <c r="E74" s="31">
        <v>2.5306999999999999</v>
      </c>
      <c r="F74" s="31">
        <v>2.5306999999999999</v>
      </c>
      <c r="G74" s="31">
        <v>2.5306999999999999</v>
      </c>
      <c r="H74" s="31">
        <v>2.5306999999999999</v>
      </c>
      <c r="I74" s="31">
        <v>2.5306999999999999</v>
      </c>
      <c r="J74" s="31">
        <v>2.3272000000000008</v>
      </c>
      <c r="K74" s="31">
        <v>2.1236999999999999</v>
      </c>
      <c r="L74" s="31">
        <v>1.9201999999999999</v>
      </c>
      <c r="M74" s="31">
        <v>1.7166999999999999</v>
      </c>
      <c r="N74" s="31">
        <v>1.61145</v>
      </c>
      <c r="O74" s="31">
        <v>1.5062</v>
      </c>
      <c r="P74" s="31">
        <v>1.40785</v>
      </c>
      <c r="Q74" s="31">
        <v>1.3095000000000001</v>
      </c>
      <c r="R74" s="31">
        <v>1.2573000000000001</v>
      </c>
      <c r="S74" s="31">
        <v>1.2051000000000001</v>
      </c>
      <c r="T74" s="31">
        <v>1.149550000000001</v>
      </c>
      <c r="U74" s="31">
        <v>1.0940000000000001</v>
      </c>
      <c r="V74" s="31">
        <v>1.0477000000000001</v>
      </c>
      <c r="W74" s="31">
        <v>1.0014000000000001</v>
      </c>
      <c r="X74" s="31">
        <v>0.95535000000000014</v>
      </c>
      <c r="Y74" s="31">
        <v>0.90930000000000022</v>
      </c>
      <c r="Z74" s="31">
        <v>0.88270000000000015</v>
      </c>
      <c r="AA74" s="31">
        <v>0.85609999999999997</v>
      </c>
      <c r="AB74" s="31">
        <v>0.83010000000000006</v>
      </c>
      <c r="AC74" s="31">
        <v>0.83010000000000006</v>
      </c>
      <c r="AD74" s="31">
        <v>0.83010000000000006</v>
      </c>
      <c r="AE74" s="31">
        <v>0.83010000000000006</v>
      </c>
      <c r="AF74" s="31">
        <v>0.83010000000000017</v>
      </c>
      <c r="AG74" s="31">
        <v>0.83010000000000006</v>
      </c>
      <c r="AH74" s="32">
        <v>0.83010000000000006</v>
      </c>
    </row>
    <row r="75" spans="1:34" x14ac:dyDescent="0.25">
      <c r="A75" s="30">
        <v>35</v>
      </c>
      <c r="B75" s="31">
        <v>2.542650000000001</v>
      </c>
      <c r="C75" s="31">
        <v>2.5426499999999992</v>
      </c>
      <c r="D75" s="31">
        <v>2.5426500000000001</v>
      </c>
      <c r="E75" s="31">
        <v>2.5426500000000001</v>
      </c>
      <c r="F75" s="31">
        <v>2.5426500000000001</v>
      </c>
      <c r="G75" s="31">
        <v>2.5426499999999992</v>
      </c>
      <c r="H75" s="31">
        <v>2.5426500000000001</v>
      </c>
      <c r="I75" s="31">
        <v>2.5426499999999992</v>
      </c>
      <c r="J75" s="31">
        <v>2.337275</v>
      </c>
      <c r="K75" s="31">
        <v>2.131899999999999</v>
      </c>
      <c r="L75" s="31">
        <v>1.926525</v>
      </c>
      <c r="M75" s="31">
        <v>1.7211499999999991</v>
      </c>
      <c r="N75" s="31">
        <v>1.6170249999999999</v>
      </c>
      <c r="O75" s="31">
        <v>1.5128999999999999</v>
      </c>
      <c r="P75" s="31">
        <v>1.412825</v>
      </c>
      <c r="Q75" s="31">
        <v>1.3127500000000001</v>
      </c>
      <c r="R75" s="31">
        <v>1.2603500000000001</v>
      </c>
      <c r="S75" s="31">
        <v>1.2079500000000001</v>
      </c>
      <c r="T75" s="31">
        <v>1.1529750000000001</v>
      </c>
      <c r="U75" s="31">
        <v>1.0980000000000001</v>
      </c>
      <c r="V75" s="31">
        <v>1.05165</v>
      </c>
      <c r="W75" s="31">
        <v>1.0053000000000001</v>
      </c>
      <c r="X75" s="31">
        <v>0.95882499999999993</v>
      </c>
      <c r="Y75" s="31">
        <v>0.91234999999999999</v>
      </c>
      <c r="Z75" s="31">
        <v>0.88539999999999996</v>
      </c>
      <c r="AA75" s="31">
        <v>0.85844999999999971</v>
      </c>
      <c r="AB75" s="31">
        <v>0.83244999999999991</v>
      </c>
      <c r="AC75" s="31">
        <v>0.8324499999999998</v>
      </c>
      <c r="AD75" s="31">
        <v>0.83244999999999991</v>
      </c>
      <c r="AE75" s="31">
        <v>0.83244999999999991</v>
      </c>
      <c r="AF75" s="31">
        <v>0.83245000000000013</v>
      </c>
      <c r="AG75" s="31">
        <v>0.83244999999999991</v>
      </c>
      <c r="AH75" s="32">
        <v>0.8324499999999998</v>
      </c>
    </row>
    <row r="76" spans="1:34" x14ac:dyDescent="0.25">
      <c r="A76" s="30">
        <v>40</v>
      </c>
      <c r="B76" s="31">
        <v>2.5546000000000002</v>
      </c>
      <c r="C76" s="31">
        <v>2.5546000000000011</v>
      </c>
      <c r="D76" s="31">
        <v>2.5546000000000011</v>
      </c>
      <c r="E76" s="31">
        <v>2.5546000000000002</v>
      </c>
      <c r="F76" s="31">
        <v>2.5546000000000002</v>
      </c>
      <c r="G76" s="31">
        <v>2.5546000000000002</v>
      </c>
      <c r="H76" s="31">
        <v>2.5546000000000011</v>
      </c>
      <c r="I76" s="31">
        <v>2.5546000000000002</v>
      </c>
      <c r="J76" s="31">
        <v>2.34735</v>
      </c>
      <c r="K76" s="31">
        <v>2.1401000000000008</v>
      </c>
      <c r="L76" s="31">
        <v>1.93285</v>
      </c>
      <c r="M76" s="31">
        <v>1.7256000000000009</v>
      </c>
      <c r="N76" s="31">
        <v>1.6226</v>
      </c>
      <c r="O76" s="31">
        <v>1.5196000000000001</v>
      </c>
      <c r="P76" s="31">
        <v>1.4178000000000011</v>
      </c>
      <c r="Q76" s="31">
        <v>1.3160000000000001</v>
      </c>
      <c r="R76" s="31">
        <v>1.2634000000000001</v>
      </c>
      <c r="S76" s="31">
        <v>1.2108000000000001</v>
      </c>
      <c r="T76" s="31">
        <v>1.1564000000000001</v>
      </c>
      <c r="U76" s="31">
        <v>1.1020000000000001</v>
      </c>
      <c r="V76" s="31">
        <v>1.0556000000000001</v>
      </c>
      <c r="W76" s="31">
        <v>1.0092000000000001</v>
      </c>
      <c r="X76" s="31">
        <v>0.96230000000000038</v>
      </c>
      <c r="Y76" s="31">
        <v>0.91540000000000032</v>
      </c>
      <c r="Z76" s="31">
        <v>0.88809999999999989</v>
      </c>
      <c r="AA76" s="31">
        <v>0.86080000000000034</v>
      </c>
      <c r="AB76" s="31">
        <v>0.83480000000000021</v>
      </c>
      <c r="AC76" s="31">
        <v>0.83480000000000032</v>
      </c>
      <c r="AD76" s="31">
        <v>0.83479999999999999</v>
      </c>
      <c r="AE76" s="31">
        <v>0.83480000000000032</v>
      </c>
      <c r="AF76" s="31">
        <v>0.83480000000000021</v>
      </c>
      <c r="AG76" s="31">
        <v>0.83479999999999999</v>
      </c>
      <c r="AH76" s="32">
        <v>0.8348000000000001</v>
      </c>
    </row>
    <row r="77" spans="1:34" x14ac:dyDescent="0.25">
      <c r="A77" s="30">
        <v>45</v>
      </c>
      <c r="B77" s="31">
        <v>2.5665500000000012</v>
      </c>
      <c r="C77" s="31">
        <v>2.5665500000000012</v>
      </c>
      <c r="D77" s="31">
        <v>2.5665500000000012</v>
      </c>
      <c r="E77" s="31">
        <v>2.5665500000000012</v>
      </c>
      <c r="F77" s="31">
        <v>2.5665499999999999</v>
      </c>
      <c r="G77" s="31">
        <v>2.5665499999999999</v>
      </c>
      <c r="H77" s="31">
        <v>2.5665500000000012</v>
      </c>
      <c r="I77" s="31">
        <v>2.5665500000000012</v>
      </c>
      <c r="J77" s="31">
        <v>2.357425000000001</v>
      </c>
      <c r="K77" s="31">
        <v>2.1482999999999999</v>
      </c>
      <c r="L77" s="31">
        <v>1.9391750000000001</v>
      </c>
      <c r="M77" s="31">
        <v>1.7300500000000001</v>
      </c>
      <c r="N77" s="31">
        <v>1.6281749999999999</v>
      </c>
      <c r="O77" s="31">
        <v>1.5263</v>
      </c>
      <c r="P77" s="31">
        <v>1.4227749999999999</v>
      </c>
      <c r="Q77" s="31">
        <v>1.31925</v>
      </c>
      <c r="R77" s="31">
        <v>1.2664500000000001</v>
      </c>
      <c r="S77" s="31">
        <v>1.2136499999999999</v>
      </c>
      <c r="T77" s="31">
        <v>1.1598250000000001</v>
      </c>
      <c r="U77" s="31">
        <v>1.1060000000000001</v>
      </c>
      <c r="V77" s="31">
        <v>1.05955</v>
      </c>
      <c r="W77" s="31">
        <v>1.0130999999999999</v>
      </c>
      <c r="X77" s="31">
        <v>0.96577499999999994</v>
      </c>
      <c r="Y77" s="31">
        <v>0.91845000000000032</v>
      </c>
      <c r="Z77" s="31">
        <v>0.89079999999999993</v>
      </c>
      <c r="AA77" s="31">
        <v>0.86315000000000008</v>
      </c>
      <c r="AB77" s="31">
        <v>0.83715000000000006</v>
      </c>
      <c r="AC77" s="31">
        <v>0.83714999999999995</v>
      </c>
      <c r="AD77" s="31">
        <v>0.83715000000000006</v>
      </c>
      <c r="AE77" s="31">
        <v>0.83715000000000028</v>
      </c>
      <c r="AF77" s="31">
        <v>0.83715000000000006</v>
      </c>
      <c r="AG77" s="31">
        <v>0.83714999999999984</v>
      </c>
      <c r="AH77" s="32">
        <v>0.83715000000000006</v>
      </c>
    </row>
    <row r="78" spans="1:34" x14ac:dyDescent="0.25">
      <c r="A78" s="30">
        <v>50</v>
      </c>
      <c r="B78" s="31">
        <v>2.5785</v>
      </c>
      <c r="C78" s="31">
        <v>2.5785</v>
      </c>
      <c r="D78" s="31">
        <v>2.5785</v>
      </c>
      <c r="E78" s="31">
        <v>2.5785</v>
      </c>
      <c r="F78" s="31">
        <v>2.5785</v>
      </c>
      <c r="G78" s="31">
        <v>2.5785</v>
      </c>
      <c r="H78" s="31">
        <v>2.5785</v>
      </c>
      <c r="I78" s="31">
        <v>2.5785</v>
      </c>
      <c r="J78" s="31">
        <v>2.3675000000000002</v>
      </c>
      <c r="K78" s="31">
        <v>2.1565000000000012</v>
      </c>
      <c r="L78" s="31">
        <v>1.9455</v>
      </c>
      <c r="M78" s="31">
        <v>1.7344999999999999</v>
      </c>
      <c r="N78" s="31">
        <v>1.63375</v>
      </c>
      <c r="O78" s="31">
        <v>1.5329999999999999</v>
      </c>
      <c r="P78" s="31">
        <v>1.4277500000000001</v>
      </c>
      <c r="Q78" s="31">
        <v>1.3225</v>
      </c>
      <c r="R78" s="31">
        <v>1.2695000000000001</v>
      </c>
      <c r="S78" s="31">
        <v>1.2164999999999999</v>
      </c>
      <c r="T78" s="31">
        <v>1.1632499999999999</v>
      </c>
      <c r="U78" s="31">
        <v>1.1100000000000001</v>
      </c>
      <c r="V78" s="31">
        <v>1.0634999999999999</v>
      </c>
      <c r="W78" s="31">
        <v>1.0169999999999999</v>
      </c>
      <c r="X78" s="31">
        <v>0.96924999999999983</v>
      </c>
      <c r="Y78" s="31">
        <v>0.92149999999999976</v>
      </c>
      <c r="Z78" s="31">
        <v>0.89349999999999996</v>
      </c>
      <c r="AA78" s="31">
        <v>0.86550000000000005</v>
      </c>
      <c r="AB78" s="31">
        <v>0.8394999999999998</v>
      </c>
      <c r="AC78" s="31">
        <v>0.8394999999999998</v>
      </c>
      <c r="AD78" s="31">
        <v>0.8394999999999998</v>
      </c>
      <c r="AE78" s="31">
        <v>0.83950000000000014</v>
      </c>
      <c r="AF78" s="31">
        <v>0.83949999999999991</v>
      </c>
      <c r="AG78" s="31">
        <v>0.83950000000000002</v>
      </c>
      <c r="AH78" s="32">
        <v>0.83950000000000002</v>
      </c>
    </row>
    <row r="79" spans="1:34" x14ac:dyDescent="0.25">
      <c r="A79" s="30">
        <v>55</v>
      </c>
      <c r="B79" s="31">
        <v>2.5904500000000001</v>
      </c>
      <c r="C79" s="31">
        <v>2.590450000000001</v>
      </c>
      <c r="D79" s="31">
        <v>2.590450000000001</v>
      </c>
      <c r="E79" s="31">
        <v>2.590450000000001</v>
      </c>
      <c r="F79" s="31">
        <v>2.5904500000000001</v>
      </c>
      <c r="G79" s="31">
        <v>2.5904500000000001</v>
      </c>
      <c r="H79" s="31">
        <v>2.5904500000000001</v>
      </c>
      <c r="I79" s="31">
        <v>2.5904499999999988</v>
      </c>
      <c r="J79" s="31">
        <v>2.3775750000000011</v>
      </c>
      <c r="K79" s="31">
        <v>2.1647000000000012</v>
      </c>
      <c r="L79" s="31">
        <v>1.951825000000001</v>
      </c>
      <c r="M79" s="31">
        <v>1.7389500000000011</v>
      </c>
      <c r="N79" s="31">
        <v>1.6393249999999999</v>
      </c>
      <c r="O79" s="31">
        <v>1.5397000000000001</v>
      </c>
      <c r="P79" s="31">
        <v>1.432725</v>
      </c>
      <c r="Q79" s="31">
        <v>1.32575</v>
      </c>
      <c r="R79" s="31">
        <v>1.272550000000001</v>
      </c>
      <c r="S79" s="31">
        <v>1.2193499999999999</v>
      </c>
      <c r="T79" s="31">
        <v>1.1666749999999999</v>
      </c>
      <c r="U79" s="31">
        <v>1.1140000000000001</v>
      </c>
      <c r="V79" s="31">
        <v>1.06745</v>
      </c>
      <c r="W79" s="31">
        <v>1.020900000000001</v>
      </c>
      <c r="X79" s="31">
        <v>0.97272500000000028</v>
      </c>
      <c r="Y79" s="31">
        <v>0.9245500000000002</v>
      </c>
      <c r="Z79" s="31">
        <v>0.89620000000000022</v>
      </c>
      <c r="AA79" s="31">
        <v>0.8678499999999999</v>
      </c>
      <c r="AB79" s="31">
        <v>0.84185000000000021</v>
      </c>
      <c r="AC79" s="31">
        <v>0.84185000000000021</v>
      </c>
      <c r="AD79" s="31">
        <v>0.8418500000000001</v>
      </c>
      <c r="AE79" s="31">
        <v>0.84185000000000054</v>
      </c>
      <c r="AF79" s="31">
        <v>0.84185000000000043</v>
      </c>
      <c r="AG79" s="31">
        <v>0.8418500000000001</v>
      </c>
      <c r="AH79" s="32">
        <v>0.84185000000000021</v>
      </c>
    </row>
    <row r="80" spans="1:34" x14ac:dyDescent="0.25">
      <c r="A80" s="30">
        <v>60</v>
      </c>
      <c r="B80" s="31">
        <v>2.6023999999999989</v>
      </c>
      <c r="C80" s="31">
        <v>2.6023999999999998</v>
      </c>
      <c r="D80" s="31">
        <v>2.6023999999999998</v>
      </c>
      <c r="E80" s="31">
        <v>2.6023999999999998</v>
      </c>
      <c r="F80" s="31">
        <v>2.6023999999999998</v>
      </c>
      <c r="G80" s="31">
        <v>2.602399999999998</v>
      </c>
      <c r="H80" s="31">
        <v>2.6023999999999998</v>
      </c>
      <c r="I80" s="31">
        <v>2.6023999999999998</v>
      </c>
      <c r="J80" s="31">
        <v>2.3876500000000012</v>
      </c>
      <c r="K80" s="31">
        <v>2.1728999999999998</v>
      </c>
      <c r="L80" s="31">
        <v>1.9581500000000001</v>
      </c>
      <c r="M80" s="31">
        <v>1.7434000000000001</v>
      </c>
      <c r="N80" s="31">
        <v>1.6449</v>
      </c>
      <c r="O80" s="31">
        <v>1.5464</v>
      </c>
      <c r="P80" s="31">
        <v>1.4377</v>
      </c>
      <c r="Q80" s="31">
        <v>1.329</v>
      </c>
      <c r="R80" s="31">
        <v>1.2756000000000001</v>
      </c>
      <c r="S80" s="31">
        <v>1.2222</v>
      </c>
      <c r="T80" s="31">
        <v>1.1700999999999999</v>
      </c>
      <c r="U80" s="31">
        <v>1.1180000000000001</v>
      </c>
      <c r="V80" s="31">
        <v>1.0713999999999999</v>
      </c>
      <c r="W80" s="31">
        <v>1.0247999999999999</v>
      </c>
      <c r="X80" s="31">
        <v>0.97620000000000007</v>
      </c>
      <c r="Y80" s="31">
        <v>0.92760000000000009</v>
      </c>
      <c r="Z80" s="31">
        <v>0.89889999999999992</v>
      </c>
      <c r="AA80" s="31">
        <v>0.87020000000000008</v>
      </c>
      <c r="AB80" s="31">
        <v>0.84419999999999973</v>
      </c>
      <c r="AC80" s="31">
        <v>0.84419999999999984</v>
      </c>
      <c r="AD80" s="31">
        <v>0.84419999999999995</v>
      </c>
      <c r="AE80" s="31">
        <v>0.84420000000000028</v>
      </c>
      <c r="AF80" s="31">
        <v>0.84419999999999995</v>
      </c>
      <c r="AG80" s="31">
        <v>0.84420000000000006</v>
      </c>
      <c r="AH80" s="32">
        <v>0.84420000000000006</v>
      </c>
    </row>
    <row r="81" spans="1:34" x14ac:dyDescent="0.25">
      <c r="A81" s="30">
        <v>65</v>
      </c>
      <c r="B81" s="31">
        <v>2.6143500000000008</v>
      </c>
      <c r="C81" s="31">
        <v>2.61435</v>
      </c>
      <c r="D81" s="31">
        <v>2.61435</v>
      </c>
      <c r="E81" s="31">
        <v>2.6143500000000008</v>
      </c>
      <c r="F81" s="31">
        <v>2.61435</v>
      </c>
      <c r="G81" s="31">
        <v>2.61435</v>
      </c>
      <c r="H81" s="31">
        <v>2.61435</v>
      </c>
      <c r="I81" s="31">
        <v>2.6143500000000008</v>
      </c>
      <c r="J81" s="31">
        <v>2.3977250000000012</v>
      </c>
      <c r="K81" s="31">
        <v>2.1810999999999998</v>
      </c>
      <c r="L81" s="31">
        <v>1.964475</v>
      </c>
      <c r="M81" s="31">
        <v>1.747850000000001</v>
      </c>
      <c r="N81" s="31">
        <v>1.6504749999999999</v>
      </c>
      <c r="O81" s="31">
        <v>1.5530999999999999</v>
      </c>
      <c r="P81" s="31">
        <v>1.442675000000001</v>
      </c>
      <c r="Q81" s="31">
        <v>1.3322499999999999</v>
      </c>
      <c r="R81" s="31">
        <v>1.278650000000001</v>
      </c>
      <c r="S81" s="31">
        <v>1.22505</v>
      </c>
      <c r="T81" s="31">
        <v>1.1735249999999999</v>
      </c>
      <c r="U81" s="31">
        <v>1.1220000000000001</v>
      </c>
      <c r="V81" s="31">
        <v>1.07535</v>
      </c>
      <c r="W81" s="31">
        <v>1.0286999999999999</v>
      </c>
      <c r="X81" s="31">
        <v>0.9796750000000003</v>
      </c>
      <c r="Y81" s="31">
        <v>0.93065000000000009</v>
      </c>
      <c r="Z81" s="31">
        <v>0.90160000000000018</v>
      </c>
      <c r="AA81" s="31">
        <v>0.87255000000000016</v>
      </c>
      <c r="AB81" s="31">
        <v>0.84655000000000002</v>
      </c>
      <c r="AC81" s="31">
        <v>0.84655000000000002</v>
      </c>
      <c r="AD81" s="31">
        <v>0.84654999999999969</v>
      </c>
      <c r="AE81" s="31">
        <v>0.84655000000000047</v>
      </c>
      <c r="AF81" s="31">
        <v>0.84655000000000036</v>
      </c>
      <c r="AG81" s="31">
        <v>0.84655000000000014</v>
      </c>
      <c r="AH81" s="32">
        <v>0.84654999999999991</v>
      </c>
    </row>
    <row r="82" spans="1:34" x14ac:dyDescent="0.25">
      <c r="A82" s="30">
        <v>70</v>
      </c>
      <c r="B82" s="31">
        <v>2.6263000000000001</v>
      </c>
      <c r="C82" s="31">
        <v>2.6263000000000001</v>
      </c>
      <c r="D82" s="31">
        <v>2.626300000000001</v>
      </c>
      <c r="E82" s="31">
        <v>2.6263000000000001</v>
      </c>
      <c r="F82" s="31">
        <v>2.6263000000000001</v>
      </c>
      <c r="G82" s="31">
        <v>2.6262999999999979</v>
      </c>
      <c r="H82" s="31">
        <v>2.626300000000001</v>
      </c>
      <c r="I82" s="31">
        <v>2.6263000000000001</v>
      </c>
      <c r="J82" s="31">
        <v>2.4077999999999999</v>
      </c>
      <c r="K82" s="31">
        <v>2.1892999999999998</v>
      </c>
      <c r="L82" s="31">
        <v>1.9708000000000001</v>
      </c>
      <c r="M82" s="31">
        <v>1.7523</v>
      </c>
      <c r="N82" s="31">
        <v>1.65605</v>
      </c>
      <c r="O82" s="31">
        <v>1.559800000000001</v>
      </c>
      <c r="P82" s="31">
        <v>1.4476500000000001</v>
      </c>
      <c r="Q82" s="31">
        <v>1.3354999999999999</v>
      </c>
      <c r="R82" s="31">
        <v>1.2817000000000001</v>
      </c>
      <c r="S82" s="31">
        <v>1.2279</v>
      </c>
      <c r="T82" s="31">
        <v>1.1769499999999999</v>
      </c>
      <c r="U82" s="31">
        <v>1.1259999999999999</v>
      </c>
      <c r="V82" s="31">
        <v>1.0792999999999999</v>
      </c>
      <c r="W82" s="31">
        <v>1.0326</v>
      </c>
      <c r="X82" s="31">
        <v>0.98315000000000008</v>
      </c>
      <c r="Y82" s="31">
        <v>0.9337000000000002</v>
      </c>
      <c r="Z82" s="31">
        <v>0.90430000000000021</v>
      </c>
      <c r="AA82" s="31">
        <v>0.8748999999999999</v>
      </c>
      <c r="AB82" s="31">
        <v>0.84889999999999988</v>
      </c>
      <c r="AC82" s="31">
        <v>0.84889999999999977</v>
      </c>
      <c r="AD82" s="31">
        <v>0.84889999999999977</v>
      </c>
      <c r="AE82" s="31">
        <v>0.84890000000000032</v>
      </c>
      <c r="AF82" s="31">
        <v>0.84890000000000032</v>
      </c>
      <c r="AG82" s="31">
        <v>0.8489000000000001</v>
      </c>
      <c r="AH82" s="32">
        <v>0.84889999999999999</v>
      </c>
    </row>
    <row r="83" spans="1:34" x14ac:dyDescent="0.25">
      <c r="A83" s="30">
        <v>75</v>
      </c>
      <c r="B83" s="31">
        <v>2.6382500000000002</v>
      </c>
      <c r="C83" s="31">
        <v>2.6382500000000002</v>
      </c>
      <c r="D83" s="31">
        <v>2.6382500000000002</v>
      </c>
      <c r="E83" s="31">
        <v>2.6382499999999989</v>
      </c>
      <c r="F83" s="31">
        <v>2.6382499999999989</v>
      </c>
      <c r="G83" s="31">
        <v>2.6382499999999989</v>
      </c>
      <c r="H83" s="31">
        <v>2.6382499999999989</v>
      </c>
      <c r="I83" s="31">
        <v>2.6382499999999989</v>
      </c>
      <c r="J83" s="31">
        <v>2.417875</v>
      </c>
      <c r="K83" s="31">
        <v>2.1974999999999989</v>
      </c>
      <c r="L83" s="31">
        <v>1.9771249999999989</v>
      </c>
      <c r="M83" s="31">
        <v>1.75675</v>
      </c>
      <c r="N83" s="31">
        <v>1.6616249999999999</v>
      </c>
      <c r="O83" s="31">
        <v>1.5665</v>
      </c>
      <c r="P83" s="31">
        <v>1.4526250000000001</v>
      </c>
      <c r="Q83" s="31">
        <v>1.3387500000000001</v>
      </c>
      <c r="R83" s="31">
        <v>1.2847499999999989</v>
      </c>
      <c r="S83" s="31">
        <v>1.23075</v>
      </c>
      <c r="T83" s="31">
        <v>1.180375</v>
      </c>
      <c r="U83" s="31">
        <v>1.1299999999999999</v>
      </c>
      <c r="V83" s="31">
        <v>1.08325</v>
      </c>
      <c r="W83" s="31">
        <v>1.0365</v>
      </c>
      <c r="X83" s="31">
        <v>0.98662499999999964</v>
      </c>
      <c r="Y83" s="31">
        <v>0.93674999999999975</v>
      </c>
      <c r="Z83" s="31">
        <v>0.90699999999999992</v>
      </c>
      <c r="AA83" s="31">
        <v>0.87724999999999975</v>
      </c>
      <c r="AB83" s="31">
        <v>0.85124999999999951</v>
      </c>
      <c r="AC83" s="31">
        <v>0.85124999999999962</v>
      </c>
      <c r="AD83" s="31">
        <v>0.85124999999999984</v>
      </c>
      <c r="AE83" s="31">
        <v>0.85125000000000006</v>
      </c>
      <c r="AF83" s="31">
        <v>0.85124999999999995</v>
      </c>
      <c r="AG83" s="31">
        <v>0.85124999999999973</v>
      </c>
      <c r="AH83" s="32">
        <v>0.85124999999999984</v>
      </c>
    </row>
    <row r="84" spans="1:34" x14ac:dyDescent="0.25">
      <c r="A84" s="33">
        <v>80</v>
      </c>
      <c r="B84" s="34">
        <v>2.6501999999999999</v>
      </c>
      <c r="C84" s="34">
        <v>2.6501999999999999</v>
      </c>
      <c r="D84" s="34">
        <v>2.6501999999999999</v>
      </c>
      <c r="E84" s="34">
        <v>2.6501999999999999</v>
      </c>
      <c r="F84" s="34">
        <v>2.650199999999999</v>
      </c>
      <c r="G84" s="34">
        <v>2.650199999999999</v>
      </c>
      <c r="H84" s="34">
        <v>2.6501999999999999</v>
      </c>
      <c r="I84" s="34">
        <v>2.650199999999999</v>
      </c>
      <c r="J84" s="34">
        <v>2.4279500000000001</v>
      </c>
      <c r="K84" s="34">
        <v>2.2057000000000002</v>
      </c>
      <c r="L84" s="34">
        <v>1.9834499999999999</v>
      </c>
      <c r="M84" s="34">
        <v>1.7612000000000001</v>
      </c>
      <c r="N84" s="34">
        <v>1.6672</v>
      </c>
      <c r="O84" s="34">
        <v>1.5731999999999999</v>
      </c>
      <c r="P84" s="34">
        <v>1.4576</v>
      </c>
      <c r="Q84" s="34">
        <v>1.3420000000000001</v>
      </c>
      <c r="R84" s="34">
        <v>1.2878000000000001</v>
      </c>
      <c r="S84" s="34">
        <v>1.2336</v>
      </c>
      <c r="T84" s="34">
        <v>1.1838</v>
      </c>
      <c r="U84" s="34">
        <v>1.1339999999999999</v>
      </c>
      <c r="V84" s="34">
        <v>1.0871999999999999</v>
      </c>
      <c r="W84" s="34">
        <v>1.0404</v>
      </c>
      <c r="X84" s="34">
        <v>0.99009999999999987</v>
      </c>
      <c r="Y84" s="34">
        <v>0.93979999999999997</v>
      </c>
      <c r="Z84" s="34">
        <v>0.90969999999999995</v>
      </c>
      <c r="AA84" s="34">
        <v>0.87959999999999972</v>
      </c>
      <c r="AB84" s="34">
        <v>0.85360000000000003</v>
      </c>
      <c r="AC84" s="34">
        <v>0.85359999999999991</v>
      </c>
      <c r="AD84" s="34">
        <v>0.85359999999999969</v>
      </c>
      <c r="AE84" s="34">
        <v>0.85360000000000003</v>
      </c>
      <c r="AF84" s="34">
        <v>0.85359999999999991</v>
      </c>
      <c r="AG84" s="34">
        <v>0.85360000000000003</v>
      </c>
      <c r="AH84" s="35">
        <v>0.85359999999999991</v>
      </c>
    </row>
    <row r="87" spans="1:34" ht="28.9" customHeight="1" x14ac:dyDescent="0.5">
      <c r="A87" s="1" t="s">
        <v>32</v>
      </c>
    </row>
    <row r="88" spans="1:34" ht="32.1" customHeight="1" x14ac:dyDescent="0.25"/>
    <row r="89" spans="1:34" x14ac:dyDescent="0.25">
      <c r="A89" s="2"/>
      <c r="B89" s="3"/>
      <c r="C89" s="3"/>
      <c r="D89" s="4"/>
    </row>
    <row r="90" spans="1:34" x14ac:dyDescent="0.25">
      <c r="A90" s="5" t="s">
        <v>33</v>
      </c>
      <c r="B90" s="6">
        <v>1.375</v>
      </c>
      <c r="C90" s="6" t="s">
        <v>13</v>
      </c>
      <c r="D90" s="7"/>
    </row>
    <row r="91" spans="1:34" x14ac:dyDescent="0.25">
      <c r="A91" s="8"/>
      <c r="B91" s="9"/>
      <c r="C91" s="9"/>
      <c r="D91" s="10"/>
    </row>
    <row r="94" spans="1:34" ht="48" customHeight="1" x14ac:dyDescent="0.25">
      <c r="A94" s="21" t="s">
        <v>34</v>
      </c>
      <c r="B94" s="23" t="s">
        <v>35</v>
      </c>
    </row>
    <row r="95" spans="1:34" x14ac:dyDescent="0.25">
      <c r="A95" s="5">
        <v>0</v>
      </c>
      <c r="B95" s="32">
        <v>9.000000000000008E-2</v>
      </c>
    </row>
    <row r="96" spans="1:34" x14ac:dyDescent="0.25">
      <c r="A96" s="5">
        <v>0.125</v>
      </c>
      <c r="B96" s="32">
        <v>8.107738095238104E-2</v>
      </c>
    </row>
    <row r="97" spans="1:2" x14ac:dyDescent="0.25">
      <c r="A97" s="5">
        <v>0.25</v>
      </c>
      <c r="B97" s="32">
        <v>6.2541666666666718E-2</v>
      </c>
    </row>
    <row r="98" spans="1:2" x14ac:dyDescent="0.25">
      <c r="A98" s="5">
        <v>0.375</v>
      </c>
      <c r="B98" s="32">
        <v>1.6182777777777879E-2</v>
      </c>
    </row>
    <row r="99" spans="1:2" x14ac:dyDescent="0.25">
      <c r="A99" s="5">
        <v>0.5</v>
      </c>
      <c r="B99" s="32">
        <v>4.0166666666666462E-2</v>
      </c>
    </row>
    <row r="100" spans="1:2" x14ac:dyDescent="0.25">
      <c r="A100" s="5">
        <v>0.625</v>
      </c>
      <c r="B100" s="32">
        <v>4.5153333333333379E-2</v>
      </c>
    </row>
    <row r="101" spans="1:2" x14ac:dyDescent="0.25">
      <c r="A101" s="5">
        <v>0.75</v>
      </c>
      <c r="B101" s="32">
        <v>3.2625000000000133E-2</v>
      </c>
    </row>
    <row r="102" spans="1:2" x14ac:dyDescent="0.25">
      <c r="A102" s="5">
        <v>0.875</v>
      </c>
      <c r="B102" s="32">
        <v>2.7428333333333391E-2</v>
      </c>
    </row>
    <row r="103" spans="1:2" x14ac:dyDescent="0.25">
      <c r="A103" s="5">
        <v>1</v>
      </c>
      <c r="B103" s="32">
        <v>1.6777777777777999E-2</v>
      </c>
    </row>
    <row r="104" spans="1:2" x14ac:dyDescent="0.25">
      <c r="A104" s="5">
        <v>1.125</v>
      </c>
      <c r="B104" s="32">
        <v>2.8556111111110831E-2</v>
      </c>
    </row>
    <row r="105" spans="1:2" x14ac:dyDescent="0.25">
      <c r="A105" s="5">
        <v>1.25</v>
      </c>
      <c r="B105" s="32">
        <v>1.3499761315801001E-2</v>
      </c>
    </row>
    <row r="106" spans="1:2" x14ac:dyDescent="0.25">
      <c r="A106" s="5">
        <v>1.375</v>
      </c>
      <c r="B106" s="32">
        <v>0</v>
      </c>
    </row>
    <row r="107" spans="1:2" x14ac:dyDescent="0.25">
      <c r="A107" s="5">
        <v>1.5</v>
      </c>
      <c r="B107" s="32">
        <v>0</v>
      </c>
    </row>
    <row r="108" spans="1:2" x14ac:dyDescent="0.25">
      <c r="A108" s="5">
        <v>1.625</v>
      </c>
      <c r="B108" s="32">
        <v>0</v>
      </c>
    </row>
    <row r="109" spans="1:2" x14ac:dyDescent="0.25">
      <c r="A109" s="5">
        <v>1.75</v>
      </c>
      <c r="B109" s="32">
        <v>0</v>
      </c>
    </row>
    <row r="110" spans="1:2" x14ac:dyDescent="0.25">
      <c r="A110" s="5">
        <v>1.875</v>
      </c>
      <c r="B110" s="32">
        <v>0</v>
      </c>
    </row>
    <row r="111" spans="1:2" x14ac:dyDescent="0.25">
      <c r="A111" s="5">
        <v>2</v>
      </c>
      <c r="B111" s="32">
        <v>0</v>
      </c>
    </row>
    <row r="112" spans="1:2" x14ac:dyDescent="0.25">
      <c r="A112" s="5">
        <v>2.125</v>
      </c>
      <c r="B112" s="32">
        <v>0</v>
      </c>
    </row>
    <row r="113" spans="1:2" x14ac:dyDescent="0.25">
      <c r="A113" s="5">
        <v>2.25</v>
      </c>
      <c r="B113" s="32">
        <v>0</v>
      </c>
    </row>
    <row r="114" spans="1:2" x14ac:dyDescent="0.25">
      <c r="A114" s="5">
        <v>2.375</v>
      </c>
      <c r="B114" s="32">
        <v>0</v>
      </c>
    </row>
    <row r="115" spans="1:2" x14ac:dyDescent="0.25">
      <c r="A115" s="5">
        <v>2.5</v>
      </c>
      <c r="B115" s="32">
        <v>0</v>
      </c>
    </row>
    <row r="116" spans="1:2" x14ac:dyDescent="0.25">
      <c r="A116" s="5">
        <v>2.625</v>
      </c>
      <c r="B116" s="32">
        <v>0</v>
      </c>
    </row>
    <row r="117" spans="1:2" x14ac:dyDescent="0.25">
      <c r="A117" s="5">
        <v>2.75</v>
      </c>
      <c r="B117" s="32">
        <v>0</v>
      </c>
    </row>
    <row r="118" spans="1:2" x14ac:dyDescent="0.25">
      <c r="A118" s="5">
        <v>2.875</v>
      </c>
      <c r="B118" s="32">
        <v>0</v>
      </c>
    </row>
    <row r="119" spans="1:2" x14ac:dyDescent="0.25">
      <c r="A119" s="5">
        <v>3</v>
      </c>
      <c r="B119" s="32">
        <v>0</v>
      </c>
    </row>
    <row r="120" spans="1:2" x14ac:dyDescent="0.25">
      <c r="A120" s="5">
        <v>3.125</v>
      </c>
      <c r="B120" s="32">
        <v>0</v>
      </c>
    </row>
    <row r="121" spans="1:2" x14ac:dyDescent="0.25">
      <c r="A121" s="5">
        <v>3.25</v>
      </c>
      <c r="B121" s="32">
        <v>0</v>
      </c>
    </row>
    <row r="122" spans="1:2" x14ac:dyDescent="0.25">
      <c r="A122" s="5">
        <v>3.375</v>
      </c>
      <c r="B122" s="32">
        <v>0</v>
      </c>
    </row>
    <row r="123" spans="1:2" x14ac:dyDescent="0.25">
      <c r="A123" s="5">
        <v>3.5</v>
      </c>
      <c r="B123" s="32">
        <v>0</v>
      </c>
    </row>
    <row r="124" spans="1:2" x14ac:dyDescent="0.25">
      <c r="A124" s="5">
        <v>3.625</v>
      </c>
      <c r="B124" s="32">
        <v>0</v>
      </c>
    </row>
    <row r="125" spans="1:2" x14ac:dyDescent="0.25">
      <c r="A125" s="5">
        <v>3.75</v>
      </c>
      <c r="B125" s="32">
        <v>0</v>
      </c>
    </row>
    <row r="126" spans="1:2" x14ac:dyDescent="0.25">
      <c r="A126" s="5">
        <v>3.875</v>
      </c>
      <c r="B126" s="32">
        <v>0</v>
      </c>
    </row>
    <row r="127" spans="1:2" x14ac:dyDescent="0.25">
      <c r="A127" s="8">
        <v>4</v>
      </c>
      <c r="B127" s="35">
        <v>0</v>
      </c>
    </row>
  </sheetData>
  <sheetProtection algorithmName="SHA-512" hashValue="5j9uF37AdZmVbw873InUoFKLUp9zVf61LplxDDNzbvUiZRpkqW2duftYqNr9594mINyXNSxCAunyTpvNxH+Erg==" saltValue="3pvVEImYPpkJnvdVfiS1MA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R57"/>
  <sheetViews>
    <sheetView workbookViewId="0">
      <selection activeCell="B37" sqref="B3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37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0.13000000000000009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20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0</v>
      </c>
      <c r="B42" s="6">
        <v>79.751009717984459</v>
      </c>
      <c r="C42" s="6">
        <f>79.7510097179844 * $B$37 / 100</f>
        <v>79.751009717984402</v>
      </c>
      <c r="D42" s="6">
        <v>10.048450000000001</v>
      </c>
      <c r="E42" s="7">
        <f>10.04845 * $B$37 / 100</f>
        <v>10.048450000000001</v>
      </c>
    </row>
    <row r="43" spans="1:5" x14ac:dyDescent="0.25">
      <c r="A43" s="5">
        <v>10</v>
      </c>
      <c r="B43" s="6">
        <v>80.710841461048716</v>
      </c>
      <c r="C43" s="6">
        <f>80.7108414610487 * $B$37 / 100</f>
        <v>80.710841461048702</v>
      </c>
      <c r="D43" s="6">
        <v>10.16938666666667</v>
      </c>
      <c r="E43" s="7">
        <f>10.1693866666666 * $B$37 / 100</f>
        <v>10.1693866666666</v>
      </c>
    </row>
    <row r="44" spans="1:5" x14ac:dyDescent="0.25">
      <c r="A44" s="5">
        <v>20</v>
      </c>
      <c r="B44" s="6">
        <v>81.670673204112958</v>
      </c>
      <c r="C44" s="6">
        <f>81.6706732041129 * $B$37 / 100</f>
        <v>81.670673204112902</v>
      </c>
      <c r="D44" s="6">
        <v>10.29032333333334</v>
      </c>
      <c r="E44" s="7">
        <f>10.2903233333333 * $B$37 / 100</f>
        <v>10.2903233333333</v>
      </c>
    </row>
    <row r="45" spans="1:5" x14ac:dyDescent="0.25">
      <c r="A45" s="5">
        <v>30</v>
      </c>
      <c r="B45" s="6">
        <v>82.630504947177201</v>
      </c>
      <c r="C45" s="6">
        <f>82.6305049471772 * $B$37 / 100</f>
        <v>82.630504947177201</v>
      </c>
      <c r="D45" s="6">
        <v>10.41126</v>
      </c>
      <c r="E45" s="7">
        <f>10.41126 * $B$37 / 100</f>
        <v>10.41126</v>
      </c>
    </row>
    <row r="46" spans="1:5" x14ac:dyDescent="0.25">
      <c r="A46" s="5">
        <v>40</v>
      </c>
      <c r="B46" s="6">
        <v>83.590336690241458</v>
      </c>
      <c r="C46" s="6">
        <f>83.5903366902414 * $B$37 / 100</f>
        <v>83.590336690241401</v>
      </c>
      <c r="D46" s="6">
        <v>10.532196666666669</v>
      </c>
      <c r="E46" s="7">
        <f>10.5321966666666 * $B$37 / 100</f>
        <v>10.5321966666666</v>
      </c>
    </row>
    <row r="47" spans="1:5" x14ac:dyDescent="0.25">
      <c r="A47" s="5">
        <v>50</v>
      </c>
      <c r="B47" s="6">
        <v>84.550168433305714</v>
      </c>
      <c r="C47" s="6">
        <f>84.5501684333057 * $B$37 / 100</f>
        <v>84.5501684333057</v>
      </c>
      <c r="D47" s="6">
        <v>10.653133333333329</v>
      </c>
      <c r="E47" s="7">
        <f>10.6531333333333 * $B$37 / 100</f>
        <v>10.653133333333299</v>
      </c>
    </row>
    <row r="48" spans="1:5" x14ac:dyDescent="0.25">
      <c r="A48" s="5">
        <v>60</v>
      </c>
      <c r="B48" s="6">
        <v>85.510000176369957</v>
      </c>
      <c r="C48" s="6">
        <f>85.5100001763699 * $B$37 / 100</f>
        <v>85.5100001763699</v>
      </c>
      <c r="D48" s="6">
        <v>10.77407</v>
      </c>
      <c r="E48" s="7">
        <f>10.77407 * $B$37 / 100</f>
        <v>10.77407</v>
      </c>
    </row>
    <row r="49" spans="1:18" x14ac:dyDescent="0.25">
      <c r="A49" s="5">
        <v>70</v>
      </c>
      <c r="B49" s="6">
        <v>86.469831919434199</v>
      </c>
      <c r="C49" s="6">
        <f>86.4698319194342 * $B$37 / 100</f>
        <v>86.469831919434199</v>
      </c>
      <c r="D49" s="6">
        <v>10.895006666666671</v>
      </c>
      <c r="E49" s="7">
        <f>10.8950066666666 * $B$37 / 100</f>
        <v>10.8950066666666</v>
      </c>
    </row>
    <row r="50" spans="1:18" x14ac:dyDescent="0.25">
      <c r="A50" s="5">
        <v>80</v>
      </c>
      <c r="B50" s="6">
        <v>87.429663662498456</v>
      </c>
      <c r="C50" s="6">
        <f>87.4296636624984 * $B$37 / 100</f>
        <v>87.429663662498399</v>
      </c>
      <c r="D50" s="6">
        <v>11.015943333333331</v>
      </c>
      <c r="E50" s="7">
        <f>11.0159433333333 * $B$37 / 100</f>
        <v>11.015943333333301</v>
      </c>
    </row>
    <row r="51" spans="1:18" x14ac:dyDescent="0.25">
      <c r="A51" s="5">
        <v>90</v>
      </c>
      <c r="B51" s="6">
        <v>88.389495405562712</v>
      </c>
      <c r="C51" s="6">
        <f>88.3894954055627 * $B$37 / 100</f>
        <v>88.389495405562698</v>
      </c>
      <c r="D51" s="6">
        <v>11.13688</v>
      </c>
      <c r="E51" s="7">
        <f>11.13688 * $B$37 / 100</f>
        <v>11.136879999999998</v>
      </c>
    </row>
    <row r="52" spans="1:18" x14ac:dyDescent="0.25">
      <c r="A52" s="8">
        <v>100</v>
      </c>
      <c r="B52" s="9">
        <v>89.349327148626955</v>
      </c>
      <c r="C52" s="9">
        <f>89.3493271486269 * $B$37 / 100</f>
        <v>89.349327148626884</v>
      </c>
      <c r="D52" s="9">
        <v>11.25781666666667</v>
      </c>
      <c r="E52" s="10">
        <f>11.2578166666666 * $B$37 / 100</f>
        <v>11.257816666666599</v>
      </c>
    </row>
    <row r="54" spans="1:18" ht="28.9" customHeight="1" x14ac:dyDescent="0.5">
      <c r="A54" s="1" t="s">
        <v>25</v>
      </c>
      <c r="B54" s="1"/>
    </row>
    <row r="55" spans="1:18" x14ac:dyDescent="0.25">
      <c r="A55" s="21" t="s">
        <v>26</v>
      </c>
      <c r="B55" s="22">
        <v>0</v>
      </c>
      <c r="C55" s="22">
        <v>6.25</v>
      </c>
      <c r="D55" s="22">
        <v>12.5</v>
      </c>
      <c r="E55" s="22">
        <v>18.75</v>
      </c>
      <c r="F55" s="22">
        <v>25</v>
      </c>
      <c r="G55" s="22">
        <v>31.25</v>
      </c>
      <c r="H55" s="22">
        <v>37.5</v>
      </c>
      <c r="I55" s="22">
        <v>43.75</v>
      </c>
      <c r="J55" s="22">
        <v>50</v>
      </c>
      <c r="K55" s="22">
        <v>56.25</v>
      </c>
      <c r="L55" s="22">
        <v>62.5</v>
      </c>
      <c r="M55" s="22">
        <v>68.75</v>
      </c>
      <c r="N55" s="22">
        <v>75</v>
      </c>
      <c r="O55" s="22">
        <v>81.25</v>
      </c>
      <c r="P55" s="22">
        <v>87.5</v>
      </c>
      <c r="Q55" s="22">
        <v>93.75</v>
      </c>
      <c r="R55" s="23">
        <v>100</v>
      </c>
    </row>
    <row r="56" spans="1:18" x14ac:dyDescent="0.25">
      <c r="A56" s="5" t="s">
        <v>27</v>
      </c>
      <c r="B56" s="6">
        <f>0 * $B$39 + (1 - 0) * $B$38</f>
        <v>14.7</v>
      </c>
      <c r="C56" s="6">
        <f>0.0625 * $B$39 + (1 - 0.0625) * $B$38</f>
        <v>14.344250000000001</v>
      </c>
      <c r="D56" s="6">
        <f>0.125 * $B$39 + (1 - 0.125) * $B$38</f>
        <v>13.988499999999998</v>
      </c>
      <c r="E56" s="6">
        <f>0.1875 * $B$39 + (1 - 0.1875) * $B$38</f>
        <v>13.63275</v>
      </c>
      <c r="F56" s="6">
        <f>0.25 * $B$39 + (1 - 0.25) * $B$38</f>
        <v>13.276999999999997</v>
      </c>
      <c r="G56" s="6">
        <f>0.3125 * $B$39 + (1 - 0.3125) * $B$38</f>
        <v>12.921249999999999</v>
      </c>
      <c r="H56" s="6">
        <f>0.375 * $B$39 + (1 - 0.375) * $B$38</f>
        <v>12.5655</v>
      </c>
      <c r="I56" s="6">
        <f>0.4375 * $B$39 + (1 - 0.4375) * $B$38</f>
        <v>12.20975</v>
      </c>
      <c r="J56" s="6">
        <f>0.5 * $B$39 + (1 - 0.5) * $B$38</f>
        <v>11.853999999999999</v>
      </c>
      <c r="K56" s="6">
        <f>0.5625 * $B$39 + (1 - 0.5625) * $B$38</f>
        <v>11.498249999999999</v>
      </c>
      <c r="L56" s="6">
        <f>0.625 * $B$39 + (1 - 0.625) * $B$38</f>
        <v>11.142499999999998</v>
      </c>
      <c r="M56" s="6">
        <f>0.6875 * $B$39 + (1 - 0.6875) * $B$38</f>
        <v>10.78675</v>
      </c>
      <c r="N56" s="6">
        <f>0.75 * $B$39 + (1 - 0.75) * $B$38</f>
        <v>10.430999999999999</v>
      </c>
      <c r="O56" s="6">
        <f>0.8125 * $B$39 + (1 - 0.8125) * $B$38</f>
        <v>10.075249999999999</v>
      </c>
      <c r="P56" s="6">
        <f>0.875 * $B$39 + (1 - 0.875) * $B$38</f>
        <v>9.7195</v>
      </c>
      <c r="Q56" s="6">
        <f>0.9375 * $B$39 + (1 - 0.9375) * $B$38</f>
        <v>9.3637499999999978</v>
      </c>
      <c r="R56" s="7">
        <f>1 * $B$39 + (1 - 1) * $B$38</f>
        <v>9.0079999999999991</v>
      </c>
    </row>
    <row r="57" spans="1:18" x14ac:dyDescent="0.25">
      <c r="A57" s="8" t="s">
        <v>28</v>
      </c>
      <c r="B57" s="9">
        <f>(0 * $B$39 + (1 - 0) * $B$38) * $B$37 / 100</f>
        <v>14.7</v>
      </c>
      <c r="C57" s="9">
        <f>(0.0625 * $B$39 + (1 - 0.0625) * $B$38) * $B$37 / 100</f>
        <v>14.344249999999999</v>
      </c>
      <c r="D57" s="9">
        <f>(0.125 * $B$39 + (1 - 0.125) * $B$38) * $B$37 / 100</f>
        <v>13.988499999999998</v>
      </c>
      <c r="E57" s="9">
        <f>(0.1875 * $B$39 + (1 - 0.1875) * $B$38) * $B$37 / 100</f>
        <v>13.632749999999998</v>
      </c>
      <c r="F57" s="9">
        <f>(0.25 * $B$39 + (1 - 0.25) * $B$38) * $B$37 / 100</f>
        <v>13.276999999999997</v>
      </c>
      <c r="G57" s="9">
        <f>(0.3125 * $B$39 + (1 - 0.3125) * $B$38) * $B$37 / 100</f>
        <v>12.921249999999997</v>
      </c>
      <c r="H57" s="9">
        <f>(0.375 * $B$39 + (1 - 0.375) * $B$38) * $B$37 / 100</f>
        <v>12.5655</v>
      </c>
      <c r="I57" s="9">
        <f>(0.4375 * $B$39 + (1 - 0.4375) * $B$38) * $B$37 / 100</f>
        <v>12.20975</v>
      </c>
      <c r="J57" s="9">
        <f>(0.5 * $B$39 + (1 - 0.5) * $B$38) * $B$37 / 100</f>
        <v>11.853999999999999</v>
      </c>
      <c r="K57" s="9">
        <f>(0.5625 * $B$39 + (1 - 0.5625) * $B$38) * $B$37 / 100</f>
        <v>11.498249999999999</v>
      </c>
      <c r="L57" s="9">
        <f>(0.625 * $B$39 + (1 - 0.625) * $B$38) * $B$37 / 100</f>
        <v>11.142499999999998</v>
      </c>
      <c r="M57" s="9">
        <f>(0.6875 * $B$39 + (1 - 0.6875) * $B$38) * $B$37 / 100</f>
        <v>10.78675</v>
      </c>
      <c r="N57" s="9">
        <f>(0.75 * $B$39 + (1 - 0.75) * $B$38) * $B$37 / 100</f>
        <v>10.430999999999999</v>
      </c>
      <c r="O57" s="9">
        <f>(0.8125 * $B$39 + (1 - 0.8125) * $B$38) * $B$37 / 100</f>
        <v>10.075249999999999</v>
      </c>
      <c r="P57" s="9">
        <f>(0.875 * $B$39 + (1 - 0.875) * $B$38) * $B$37 / 100</f>
        <v>9.7195</v>
      </c>
      <c r="Q57" s="9">
        <f>(0.9375 * $B$39 + (1 - 0.9375) * $B$38) * $B$37 / 100</f>
        <v>9.3637499999999978</v>
      </c>
      <c r="R57" s="10">
        <f>(1 * $B$39 + (1 - 1) * $B$38) * $B$37 / 100</f>
        <v>9.0079999999999991</v>
      </c>
    </row>
  </sheetData>
  <sheetProtection algorithmName="SHA-512" hashValue="FQXin3uBw6W1loQ89jGO+z8WL2foG0DdLuvB7qW/VP5DolESAD5TRe8QQ71w2S1nUG6UjgMN0U1TlVQGNp+0Bg==" saltValue="yjzv0XaC275bW51eNjOivA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R62"/>
  <sheetViews>
    <sheetView workbookViewId="0">
      <selection activeCell="B37" sqref="B3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38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0.13000000000000009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20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-50</v>
      </c>
      <c r="B42" s="6">
        <v>73.77378789749379</v>
      </c>
      <c r="C42" s="6">
        <f>73.7737878974937 * $B$37 / 100</f>
        <v>73.773787897493705</v>
      </c>
      <c r="D42" s="6">
        <v>9.2953333333333337</v>
      </c>
      <c r="E42" s="7">
        <f>9.29533333333333 * $B$37 / 100</f>
        <v>9.2953333333333301</v>
      </c>
    </row>
    <row r="43" spans="1:5" x14ac:dyDescent="0.25">
      <c r="A43" s="5">
        <v>-40</v>
      </c>
      <c r="B43" s="6">
        <v>74.969232261591927</v>
      </c>
      <c r="C43" s="6">
        <f>74.9692322615919 * $B$37 / 100</f>
        <v>74.969232261591898</v>
      </c>
      <c r="D43" s="6">
        <v>9.4459566666666674</v>
      </c>
      <c r="E43" s="7">
        <f>9.44595666666666 * $B$37 / 100</f>
        <v>9.4459566666666603</v>
      </c>
    </row>
    <row r="44" spans="1:5" x14ac:dyDescent="0.25">
      <c r="A44" s="5">
        <v>-30</v>
      </c>
      <c r="B44" s="6">
        <v>76.164676625690063</v>
      </c>
      <c r="C44" s="6">
        <f>76.16467662569 * $B$37 / 100</f>
        <v>76.164676625690007</v>
      </c>
      <c r="D44" s="6">
        <v>9.596580000000003</v>
      </c>
      <c r="E44" s="7">
        <f>9.59658 * $B$37 / 100</f>
        <v>9.5965799999999994</v>
      </c>
    </row>
    <row r="45" spans="1:5" x14ac:dyDescent="0.25">
      <c r="A45" s="5">
        <v>-20</v>
      </c>
      <c r="B45" s="6">
        <v>77.360120989788186</v>
      </c>
      <c r="C45" s="6">
        <f>77.3601209897881 * $B$37 / 100</f>
        <v>77.360120989788101</v>
      </c>
      <c r="D45" s="6">
        <v>9.7472033333333332</v>
      </c>
      <c r="E45" s="7">
        <f>9.74720333333333 * $B$37 / 100</f>
        <v>9.7472033333333297</v>
      </c>
    </row>
    <row r="46" spans="1:5" x14ac:dyDescent="0.25">
      <c r="A46" s="5">
        <v>-10</v>
      </c>
      <c r="B46" s="6">
        <v>78.555565353886323</v>
      </c>
      <c r="C46" s="6">
        <f>78.5555653538863 * $B$37 / 100</f>
        <v>78.555565353886294</v>
      </c>
      <c r="D46" s="6">
        <v>9.8978266666666688</v>
      </c>
      <c r="E46" s="7">
        <f>9.89782666666666 * $B$37 / 100</f>
        <v>9.8978266666666599</v>
      </c>
    </row>
    <row r="47" spans="1:5" x14ac:dyDescent="0.25">
      <c r="A47" s="5">
        <v>0</v>
      </c>
      <c r="B47" s="6">
        <v>79.751009717984459</v>
      </c>
      <c r="C47" s="6">
        <f>79.7510097179844 * $B$37 / 100</f>
        <v>79.751009717984402</v>
      </c>
      <c r="D47" s="6">
        <v>10.048450000000001</v>
      </c>
      <c r="E47" s="7">
        <f>10.04845 * $B$37 / 100</f>
        <v>10.048450000000001</v>
      </c>
    </row>
    <row r="48" spans="1:5" x14ac:dyDescent="0.25">
      <c r="A48" s="5">
        <v>10</v>
      </c>
      <c r="B48" s="6">
        <v>80.710841461048716</v>
      </c>
      <c r="C48" s="6">
        <f>80.7108414610487 * $B$37 / 100</f>
        <v>80.710841461048702</v>
      </c>
      <c r="D48" s="6">
        <v>10.16938666666667</v>
      </c>
      <c r="E48" s="7">
        <f>10.1693866666666 * $B$37 / 100</f>
        <v>10.1693866666666</v>
      </c>
    </row>
    <row r="49" spans="1:18" x14ac:dyDescent="0.25">
      <c r="A49" s="5">
        <v>20</v>
      </c>
      <c r="B49" s="6">
        <v>81.670673204112958</v>
      </c>
      <c r="C49" s="6">
        <f>81.6706732041129 * $B$37 / 100</f>
        <v>81.670673204112902</v>
      </c>
      <c r="D49" s="6">
        <v>10.29032333333334</v>
      </c>
      <c r="E49" s="7">
        <f>10.2903233333333 * $B$37 / 100</f>
        <v>10.2903233333333</v>
      </c>
    </row>
    <row r="50" spans="1:18" x14ac:dyDescent="0.25">
      <c r="A50" s="5">
        <v>30</v>
      </c>
      <c r="B50" s="6">
        <v>82.630504947177201</v>
      </c>
      <c r="C50" s="6">
        <f>82.6305049471772 * $B$37 / 100</f>
        <v>82.630504947177201</v>
      </c>
      <c r="D50" s="6">
        <v>10.41126</v>
      </c>
      <c r="E50" s="7">
        <f>10.41126 * $B$37 / 100</f>
        <v>10.41126</v>
      </c>
    </row>
    <row r="51" spans="1:18" x14ac:dyDescent="0.25">
      <c r="A51" s="5">
        <v>40</v>
      </c>
      <c r="B51" s="6">
        <v>83.590336690241458</v>
      </c>
      <c r="C51" s="6">
        <f>83.5903366902414 * $B$37 / 100</f>
        <v>83.590336690241401</v>
      </c>
      <c r="D51" s="6">
        <v>10.532196666666669</v>
      </c>
      <c r="E51" s="7">
        <f>10.5321966666666 * $B$37 / 100</f>
        <v>10.5321966666666</v>
      </c>
    </row>
    <row r="52" spans="1:18" x14ac:dyDescent="0.25">
      <c r="A52" s="5">
        <v>50</v>
      </c>
      <c r="B52" s="6">
        <v>84.550168433305714</v>
      </c>
      <c r="C52" s="6">
        <f>84.5501684333057 * $B$37 / 100</f>
        <v>84.5501684333057</v>
      </c>
      <c r="D52" s="6">
        <v>10.653133333333329</v>
      </c>
      <c r="E52" s="7">
        <f>10.6531333333333 * $B$37 / 100</f>
        <v>10.653133333333299</v>
      </c>
    </row>
    <row r="53" spans="1:18" x14ac:dyDescent="0.25">
      <c r="A53" s="5">
        <v>60</v>
      </c>
      <c r="B53" s="6">
        <v>85.510000176369957</v>
      </c>
      <c r="C53" s="6">
        <f>85.5100001763699 * $B$37 / 100</f>
        <v>85.5100001763699</v>
      </c>
      <c r="D53" s="6">
        <v>10.77407</v>
      </c>
      <c r="E53" s="7">
        <f>10.77407 * $B$37 / 100</f>
        <v>10.77407</v>
      </c>
    </row>
    <row r="54" spans="1:18" x14ac:dyDescent="0.25">
      <c r="A54" s="5">
        <v>70</v>
      </c>
      <c r="B54" s="6">
        <v>86.469831919434199</v>
      </c>
      <c r="C54" s="6">
        <f>86.4698319194342 * $B$37 / 100</f>
        <v>86.469831919434199</v>
      </c>
      <c r="D54" s="6">
        <v>10.895006666666671</v>
      </c>
      <c r="E54" s="7">
        <f>10.8950066666666 * $B$37 / 100</f>
        <v>10.8950066666666</v>
      </c>
    </row>
    <row r="55" spans="1:18" x14ac:dyDescent="0.25">
      <c r="A55" s="5">
        <v>80</v>
      </c>
      <c r="B55" s="6">
        <v>87.429663662498456</v>
      </c>
      <c r="C55" s="6">
        <f>87.4296636624984 * $B$37 / 100</f>
        <v>87.429663662498399</v>
      </c>
      <c r="D55" s="6">
        <v>11.015943333333331</v>
      </c>
      <c r="E55" s="7">
        <f>11.0159433333333 * $B$37 / 100</f>
        <v>11.015943333333301</v>
      </c>
    </row>
    <row r="56" spans="1:18" x14ac:dyDescent="0.25">
      <c r="A56" s="5">
        <v>90</v>
      </c>
      <c r="B56" s="6">
        <v>88.389495405562712</v>
      </c>
      <c r="C56" s="6">
        <f>88.3894954055627 * $B$37 / 100</f>
        <v>88.389495405562698</v>
      </c>
      <c r="D56" s="6">
        <v>11.13688</v>
      </c>
      <c r="E56" s="7">
        <f>11.13688 * $B$37 / 100</f>
        <v>11.136879999999998</v>
      </c>
    </row>
    <row r="57" spans="1:18" x14ac:dyDescent="0.25">
      <c r="A57" s="8">
        <v>100</v>
      </c>
      <c r="B57" s="9">
        <v>89.349327148626955</v>
      </c>
      <c r="C57" s="9">
        <f>89.3493271486269 * $B$37 / 100</f>
        <v>89.349327148626884</v>
      </c>
      <c r="D57" s="9">
        <v>11.25781666666667</v>
      </c>
      <c r="E57" s="10">
        <f>11.2578166666666 * $B$37 / 100</f>
        <v>11.257816666666599</v>
      </c>
    </row>
    <row r="59" spans="1:18" ht="28.9" customHeight="1" x14ac:dyDescent="0.5">
      <c r="A59" s="1" t="s">
        <v>25</v>
      </c>
      <c r="B59" s="1"/>
    </row>
    <row r="60" spans="1:18" x14ac:dyDescent="0.25">
      <c r="A60" s="21" t="s">
        <v>26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27</v>
      </c>
      <c r="B61" s="6">
        <f>0 * $B$39 + (1 - 0) * $B$38</f>
        <v>14.7</v>
      </c>
      <c r="C61" s="6">
        <f>0.0625 * $B$39 + (1 - 0.0625) * $B$38</f>
        <v>14.344250000000001</v>
      </c>
      <c r="D61" s="6">
        <f>0.125 * $B$39 + (1 - 0.125) * $B$38</f>
        <v>13.988499999999998</v>
      </c>
      <c r="E61" s="6">
        <f>0.1875 * $B$39 + (1 - 0.1875) * $B$38</f>
        <v>13.63275</v>
      </c>
      <c r="F61" s="6">
        <f>0.25 * $B$39 + (1 - 0.25) * $B$38</f>
        <v>13.276999999999997</v>
      </c>
      <c r="G61" s="6">
        <f>0.3125 * $B$39 + (1 - 0.3125) * $B$38</f>
        <v>12.921249999999999</v>
      </c>
      <c r="H61" s="6">
        <f>0.375 * $B$39 + (1 - 0.375) * $B$38</f>
        <v>12.5655</v>
      </c>
      <c r="I61" s="6">
        <f>0.4375 * $B$39 + (1 - 0.4375) * $B$38</f>
        <v>12.20975</v>
      </c>
      <c r="J61" s="6">
        <f>0.5 * $B$39 + (1 - 0.5) * $B$38</f>
        <v>11.853999999999999</v>
      </c>
      <c r="K61" s="6">
        <f>0.5625 * $B$39 + (1 - 0.5625) * $B$38</f>
        <v>11.498249999999999</v>
      </c>
      <c r="L61" s="6">
        <f>0.625 * $B$39 + (1 - 0.625) * $B$38</f>
        <v>11.142499999999998</v>
      </c>
      <c r="M61" s="6">
        <f>0.6875 * $B$39 + (1 - 0.6875) * $B$38</f>
        <v>10.78675</v>
      </c>
      <c r="N61" s="6">
        <f>0.75 * $B$39 + (1 - 0.75) * $B$38</f>
        <v>10.430999999999999</v>
      </c>
      <c r="O61" s="6">
        <f>0.8125 * $B$39 + (1 - 0.8125) * $B$38</f>
        <v>10.075249999999999</v>
      </c>
      <c r="P61" s="6">
        <f>0.875 * $B$39 + (1 - 0.875) * $B$38</f>
        <v>9.7195</v>
      </c>
      <c r="Q61" s="6">
        <f>0.9375 * $B$39 + (1 - 0.9375) * $B$38</f>
        <v>9.3637499999999978</v>
      </c>
      <c r="R61" s="7">
        <f>1 * $B$39 + (1 - 1) * $B$38</f>
        <v>9.0079999999999991</v>
      </c>
    </row>
    <row r="62" spans="1:18" x14ac:dyDescent="0.25">
      <c r="A62" s="8" t="s">
        <v>28</v>
      </c>
      <c r="B62" s="9">
        <f>(0 * $B$39 + (1 - 0) * $B$38) * $B$37 / 100</f>
        <v>14.7</v>
      </c>
      <c r="C62" s="9">
        <f>(0.0625 * $B$39 + (1 - 0.0625) * $B$38) * $B$37 / 100</f>
        <v>14.344249999999999</v>
      </c>
      <c r="D62" s="9">
        <f>(0.125 * $B$39 + (1 - 0.125) * $B$38) * $B$37 / 100</f>
        <v>13.988499999999998</v>
      </c>
      <c r="E62" s="9">
        <f>(0.1875 * $B$39 + (1 - 0.1875) * $B$38) * $B$37 / 100</f>
        <v>13.632749999999998</v>
      </c>
      <c r="F62" s="9">
        <f>(0.25 * $B$39 + (1 - 0.25) * $B$38) * $B$37 / 100</f>
        <v>13.276999999999997</v>
      </c>
      <c r="G62" s="9">
        <f>(0.3125 * $B$39 + (1 - 0.3125) * $B$38) * $B$37 / 100</f>
        <v>12.921249999999997</v>
      </c>
      <c r="H62" s="9">
        <f>(0.375 * $B$39 + (1 - 0.375) * $B$38) * $B$37 / 100</f>
        <v>12.5655</v>
      </c>
      <c r="I62" s="9">
        <f>(0.4375 * $B$39 + (1 - 0.4375) * $B$38) * $B$37 / 100</f>
        <v>12.20975</v>
      </c>
      <c r="J62" s="9">
        <f>(0.5 * $B$39 + (1 - 0.5) * $B$38) * $B$37 / 100</f>
        <v>11.853999999999999</v>
      </c>
      <c r="K62" s="9">
        <f>(0.5625 * $B$39 + (1 - 0.5625) * $B$38) * $B$37 / 100</f>
        <v>11.498249999999999</v>
      </c>
      <c r="L62" s="9">
        <f>(0.625 * $B$39 + (1 - 0.625) * $B$38) * $B$37 / 100</f>
        <v>11.142499999999998</v>
      </c>
      <c r="M62" s="9">
        <f>(0.6875 * $B$39 + (1 - 0.6875) * $B$38) * $B$37 / 100</f>
        <v>10.78675</v>
      </c>
      <c r="N62" s="9">
        <f>(0.75 * $B$39 + (1 - 0.75) * $B$38) * $B$37 / 100</f>
        <v>10.430999999999999</v>
      </c>
      <c r="O62" s="9">
        <f>(0.8125 * $B$39 + (1 - 0.8125) * $B$38) * $B$37 / 100</f>
        <v>10.075249999999999</v>
      </c>
      <c r="P62" s="9">
        <f>(0.875 * $B$39 + (1 - 0.875) * $B$38) * $B$37 / 100</f>
        <v>9.7195</v>
      </c>
      <c r="Q62" s="9">
        <f>(0.9375 * $B$39 + (1 - 0.9375) * $B$38) * $B$37 / 100</f>
        <v>9.3637499999999978</v>
      </c>
      <c r="R62" s="10">
        <f>(1 * $B$39 + (1 - 1) * $B$38) * $B$37 / 100</f>
        <v>9.0079999999999991</v>
      </c>
    </row>
  </sheetData>
  <sheetProtection algorithmName="SHA-512" hashValue="7hz4Pq6j0WM9CtN9N2SrFCj1cmESoMRFxNGF9LAVv6UexMlau/UdjhQnvhkZFaJLGMUAOcCK+UDH/BiiGvHGFA==" saltValue="AEE075k+k62aomnmfPqBXA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5:AH159"/>
  <sheetViews>
    <sheetView workbookViewId="0">
      <selection activeCell="B37" sqref="B3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39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0.13000000000000009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20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-120</v>
      </c>
      <c r="B42" s="6">
        <v>65.150752217852173</v>
      </c>
      <c r="C42" s="6">
        <f>65.1507522178521 * $B$37 / 100</f>
        <v>65.150752217852101</v>
      </c>
      <c r="D42" s="6">
        <v>8.20885</v>
      </c>
      <c r="E42" s="7">
        <f>8.20885 * $B$37 / 100</f>
        <v>8.20885</v>
      </c>
    </row>
    <row r="43" spans="1:5" x14ac:dyDescent="0.25">
      <c r="A43" s="5">
        <v>-114</v>
      </c>
      <c r="B43" s="6">
        <v>65.944496375597453</v>
      </c>
      <c r="C43" s="6">
        <f>65.9444963755974 * $B$37 / 100</f>
        <v>65.944496375597396</v>
      </c>
      <c r="D43" s="6">
        <v>8.3088599999999992</v>
      </c>
      <c r="E43" s="7">
        <f>8.30886 * $B$37 / 100</f>
        <v>8.3088599999999992</v>
      </c>
    </row>
    <row r="44" spans="1:5" x14ac:dyDescent="0.25">
      <c r="A44" s="5">
        <v>-108</v>
      </c>
      <c r="B44" s="6">
        <v>66.738240533342747</v>
      </c>
      <c r="C44" s="6">
        <f>66.7382405333427 * $B$37 / 100</f>
        <v>66.738240533342704</v>
      </c>
      <c r="D44" s="6">
        <v>8.4088700000000003</v>
      </c>
      <c r="E44" s="7">
        <f>8.40887 * $B$37 / 100</f>
        <v>8.4088700000000003</v>
      </c>
    </row>
    <row r="45" spans="1:5" x14ac:dyDescent="0.25">
      <c r="A45" s="5">
        <v>-101</v>
      </c>
      <c r="B45" s="6">
        <v>67.664275384045567</v>
      </c>
      <c r="C45" s="6">
        <f>67.6642753840455 * $B$37 / 100</f>
        <v>67.664275384045496</v>
      </c>
      <c r="D45" s="6">
        <v>8.5255483333333313</v>
      </c>
      <c r="E45" s="7">
        <f>8.52554833333333 * $B$37 / 100</f>
        <v>8.5255483333333295</v>
      </c>
    </row>
    <row r="46" spans="1:5" x14ac:dyDescent="0.25">
      <c r="A46" s="5">
        <v>-95</v>
      </c>
      <c r="B46" s="6">
        <v>68.394288259052189</v>
      </c>
      <c r="C46" s="6">
        <f>68.3942882590521 * $B$37 / 100</f>
        <v>68.394288259052104</v>
      </c>
      <c r="D46" s="6">
        <v>8.6175283333333326</v>
      </c>
      <c r="E46" s="7">
        <f>8.61752833333333 * $B$37 / 100</f>
        <v>8.6175283333333308</v>
      </c>
    </row>
    <row r="47" spans="1:5" x14ac:dyDescent="0.25">
      <c r="A47" s="5">
        <v>-89</v>
      </c>
      <c r="B47" s="6">
        <v>69.111554877511068</v>
      </c>
      <c r="C47" s="6">
        <f>69.111554877511 * $B$37 / 100</f>
        <v>69.111554877510997</v>
      </c>
      <c r="D47" s="6">
        <v>8.7079023333333332</v>
      </c>
      <c r="E47" s="7">
        <f>8.70790233333333 * $B$37 / 100</f>
        <v>8.7079023333333296</v>
      </c>
    </row>
    <row r="48" spans="1:5" x14ac:dyDescent="0.25">
      <c r="A48" s="5">
        <v>-83</v>
      </c>
      <c r="B48" s="6">
        <v>69.828821495969947</v>
      </c>
      <c r="C48" s="6">
        <f>69.8288214959699 * $B$37 / 100</f>
        <v>69.828821495969905</v>
      </c>
      <c r="D48" s="6">
        <v>8.7982763333333338</v>
      </c>
      <c r="E48" s="7">
        <f>8.79827633333333 * $B$37 / 100</f>
        <v>8.7982763333333303</v>
      </c>
    </row>
    <row r="49" spans="1:5" x14ac:dyDescent="0.25">
      <c r="A49" s="5">
        <v>-76</v>
      </c>
      <c r="B49" s="6">
        <v>70.665632550838637</v>
      </c>
      <c r="C49" s="6">
        <f>70.6656325508386 * $B$37 / 100</f>
        <v>70.665632550838595</v>
      </c>
      <c r="D49" s="6">
        <v>8.9037126666666655</v>
      </c>
      <c r="E49" s="7">
        <f>8.90371266666666 * $B$37 / 100</f>
        <v>8.9037126666666602</v>
      </c>
    </row>
    <row r="50" spans="1:5" x14ac:dyDescent="0.25">
      <c r="A50" s="5">
        <v>-70</v>
      </c>
      <c r="B50" s="6">
        <v>71.382899169297517</v>
      </c>
      <c r="C50" s="6">
        <f>71.3828991692975 * $B$37 / 100</f>
        <v>71.382899169297502</v>
      </c>
      <c r="D50" s="6">
        <v>8.9940866666666661</v>
      </c>
      <c r="E50" s="7">
        <f>8.99408666666666 * $B$37 / 100</f>
        <v>8.9940866666666608</v>
      </c>
    </row>
    <row r="51" spans="1:5" x14ac:dyDescent="0.25">
      <c r="A51" s="5">
        <v>-64</v>
      </c>
      <c r="B51" s="6">
        <v>72.100165787756396</v>
      </c>
      <c r="C51" s="6">
        <f>72.1001657877564 * $B$37 / 100</f>
        <v>72.100165787756396</v>
      </c>
      <c r="D51" s="6">
        <v>9.0844606666666667</v>
      </c>
      <c r="E51" s="7">
        <f>9.08446066666666 * $B$37 / 100</f>
        <v>9.0844606666666596</v>
      </c>
    </row>
    <row r="52" spans="1:5" x14ac:dyDescent="0.25">
      <c r="A52" s="5">
        <v>-58</v>
      </c>
      <c r="B52" s="6">
        <v>72.817432406215289</v>
      </c>
      <c r="C52" s="6">
        <f>72.8174324062152 * $B$37 / 100</f>
        <v>72.817432406215204</v>
      </c>
      <c r="D52" s="6">
        <v>9.1748346666666674</v>
      </c>
      <c r="E52" s="7">
        <f>9.17483466666666 * $B$37 / 100</f>
        <v>9.1748346666666603</v>
      </c>
    </row>
    <row r="53" spans="1:5" x14ac:dyDescent="0.25">
      <c r="A53" s="5">
        <v>-51</v>
      </c>
      <c r="B53" s="6">
        <v>73.654243461083979</v>
      </c>
      <c r="C53" s="6">
        <f>73.6542434610839 * $B$37 / 100</f>
        <v>73.654243461083894</v>
      </c>
      <c r="D53" s="6">
        <v>9.2802710000000008</v>
      </c>
      <c r="E53" s="7">
        <f>9.280271 * $B$37 / 100</f>
        <v>9.2802710000000008</v>
      </c>
    </row>
    <row r="54" spans="1:5" x14ac:dyDescent="0.25">
      <c r="A54" s="5">
        <v>-45</v>
      </c>
      <c r="B54" s="6">
        <v>74.371510079542858</v>
      </c>
      <c r="C54" s="6">
        <f>74.3715100795428 * $B$37 / 100</f>
        <v>74.371510079542801</v>
      </c>
      <c r="D54" s="6">
        <v>9.3706449999999997</v>
      </c>
      <c r="E54" s="7">
        <f>9.370645 * $B$37 / 100</f>
        <v>9.3706449999999997</v>
      </c>
    </row>
    <row r="55" spans="1:5" x14ac:dyDescent="0.25">
      <c r="A55" s="5">
        <v>-39</v>
      </c>
      <c r="B55" s="6">
        <v>75.088776698001737</v>
      </c>
      <c r="C55" s="6">
        <f>75.0887766980017 * $B$37 / 100</f>
        <v>75.088776698001695</v>
      </c>
      <c r="D55" s="6">
        <v>9.4610190000000003</v>
      </c>
      <c r="E55" s="7">
        <f>9.461019 * $B$37 / 100</f>
        <v>9.4610190000000003</v>
      </c>
    </row>
    <row r="56" spans="1:5" x14ac:dyDescent="0.25">
      <c r="A56" s="5">
        <v>-33</v>
      </c>
      <c r="B56" s="6">
        <v>75.806043316460617</v>
      </c>
      <c r="C56" s="6">
        <f>75.8060433164606 * $B$37 / 100</f>
        <v>75.806043316460602</v>
      </c>
      <c r="D56" s="6">
        <v>9.5513930000000009</v>
      </c>
      <c r="E56" s="7">
        <f>9.551393 * $B$37 / 100</f>
        <v>9.5513929999999991</v>
      </c>
    </row>
    <row r="57" spans="1:5" x14ac:dyDescent="0.25">
      <c r="A57" s="5">
        <v>-26</v>
      </c>
      <c r="B57" s="6">
        <v>76.642854371329307</v>
      </c>
      <c r="C57" s="6">
        <f>76.6428543713293 * $B$37 / 100</f>
        <v>76.642854371329307</v>
      </c>
      <c r="D57" s="6">
        <v>9.6568293333333326</v>
      </c>
      <c r="E57" s="7">
        <f>9.65682933333333 * $B$37 / 100</f>
        <v>9.6568293333333308</v>
      </c>
    </row>
    <row r="58" spans="1:5" x14ac:dyDescent="0.25">
      <c r="A58" s="5">
        <v>-20</v>
      </c>
      <c r="B58" s="6">
        <v>77.360120989788186</v>
      </c>
      <c r="C58" s="6">
        <f>77.3601209897881 * $B$37 / 100</f>
        <v>77.360120989788101</v>
      </c>
      <c r="D58" s="6">
        <v>9.7472033333333332</v>
      </c>
      <c r="E58" s="7">
        <f>9.74720333333333 * $B$37 / 100</f>
        <v>9.7472033333333297</v>
      </c>
    </row>
    <row r="59" spans="1:5" x14ac:dyDescent="0.25">
      <c r="A59" s="5">
        <v>-14</v>
      </c>
      <c r="B59" s="6">
        <v>78.077387608247079</v>
      </c>
      <c r="C59" s="6">
        <f>78.077387608247 * $B$37 / 100</f>
        <v>78.077387608246994</v>
      </c>
      <c r="D59" s="6">
        <v>9.8375773333333356</v>
      </c>
      <c r="E59" s="7">
        <f>9.83757733333333 * $B$37 / 100</f>
        <v>9.8375773333333303</v>
      </c>
    </row>
    <row r="60" spans="1:5" x14ac:dyDescent="0.25">
      <c r="A60" s="5">
        <v>-8</v>
      </c>
      <c r="B60" s="6">
        <v>78.794654226705944</v>
      </c>
      <c r="C60" s="6">
        <f>78.7946542267059 * $B$37 / 100</f>
        <v>78.794654226705902</v>
      </c>
      <c r="D60" s="6">
        <v>9.9279513333333345</v>
      </c>
      <c r="E60" s="7">
        <f>9.92795133333333 * $B$37 / 100</f>
        <v>9.9279513333333291</v>
      </c>
    </row>
    <row r="61" spans="1:5" x14ac:dyDescent="0.25">
      <c r="A61" s="5">
        <v>-1</v>
      </c>
      <c r="B61" s="6">
        <v>79.631465281574648</v>
      </c>
      <c r="C61" s="6">
        <f>79.6314652815746 * $B$37 / 100</f>
        <v>79.631465281574606</v>
      </c>
      <c r="D61" s="6">
        <v>10.03338766666667</v>
      </c>
      <c r="E61" s="7">
        <f>10.0333876666666 * $B$37 / 100</f>
        <v>10.0333876666666</v>
      </c>
    </row>
    <row r="62" spans="1:5" x14ac:dyDescent="0.25">
      <c r="A62" s="5">
        <v>5</v>
      </c>
      <c r="B62" s="6">
        <v>80.230925589516588</v>
      </c>
      <c r="C62" s="6">
        <f>80.2309255895165 * $B$37 / 100</f>
        <v>80.230925589516502</v>
      </c>
      <c r="D62" s="6">
        <v>10.108918333333341</v>
      </c>
      <c r="E62" s="7">
        <f>10.1089183333333 * $B$37 / 100</f>
        <v>10.1089183333333</v>
      </c>
    </row>
    <row r="63" spans="1:5" x14ac:dyDescent="0.25">
      <c r="A63" s="5">
        <v>11</v>
      </c>
      <c r="B63" s="6">
        <v>80.806824635355127</v>
      </c>
      <c r="C63" s="6">
        <f>80.8068246353551 * $B$37 / 100</f>
        <v>80.806824635355099</v>
      </c>
      <c r="D63" s="6">
        <v>10.181480333333329</v>
      </c>
      <c r="E63" s="7">
        <f>10.1814803333333 * $B$37 / 100</f>
        <v>10.181480333333299</v>
      </c>
    </row>
    <row r="64" spans="1:5" x14ac:dyDescent="0.25">
      <c r="A64" s="5">
        <v>18</v>
      </c>
      <c r="B64" s="6">
        <v>81.478706855500107</v>
      </c>
      <c r="C64" s="6">
        <f>81.4787068555001 * $B$37 / 100</f>
        <v>81.478706855500107</v>
      </c>
      <c r="D64" s="6">
        <v>10.266135999999999</v>
      </c>
      <c r="E64" s="7">
        <f>10.266136 * $B$37 / 100</f>
        <v>10.266135999999999</v>
      </c>
    </row>
    <row r="65" spans="1:18" x14ac:dyDescent="0.25">
      <c r="A65" s="5">
        <v>24</v>
      </c>
      <c r="B65" s="6">
        <v>82.054605901338661</v>
      </c>
      <c r="C65" s="6">
        <f>82.0546059013386 * $B$37 / 100</f>
        <v>82.054605901338604</v>
      </c>
      <c r="D65" s="6">
        <v>10.338698000000001</v>
      </c>
      <c r="E65" s="7">
        <f>10.338698 * $B$37 / 100</f>
        <v>10.338698000000001</v>
      </c>
    </row>
    <row r="66" spans="1:18" x14ac:dyDescent="0.25">
      <c r="A66" s="5">
        <v>30</v>
      </c>
      <c r="B66" s="6">
        <v>82.630504947177201</v>
      </c>
      <c r="C66" s="6">
        <f>82.6305049471772 * $B$37 / 100</f>
        <v>82.630504947177201</v>
      </c>
      <c r="D66" s="6">
        <v>10.41126</v>
      </c>
      <c r="E66" s="7">
        <f>10.41126 * $B$37 / 100</f>
        <v>10.41126</v>
      </c>
    </row>
    <row r="67" spans="1:18" x14ac:dyDescent="0.25">
      <c r="A67" s="5">
        <v>36</v>
      </c>
      <c r="B67" s="6">
        <v>83.206403993015755</v>
      </c>
      <c r="C67" s="6">
        <f>83.2064039930157 * $B$37 / 100</f>
        <v>83.206403993015698</v>
      </c>
      <c r="D67" s="6">
        <v>10.483822</v>
      </c>
      <c r="E67" s="7">
        <f>10.483822 * $B$37 / 100</f>
        <v>10.483822</v>
      </c>
    </row>
    <row r="68" spans="1:18" x14ac:dyDescent="0.25">
      <c r="A68" s="5">
        <v>43</v>
      </c>
      <c r="B68" s="6">
        <v>83.878286213160735</v>
      </c>
      <c r="C68" s="6">
        <f>83.8782862131607 * $B$37 / 100</f>
        <v>83.878286213160706</v>
      </c>
      <c r="D68" s="6">
        <v>10.56847766666667</v>
      </c>
      <c r="E68" s="7">
        <f>10.5684776666666 * $B$37 / 100</f>
        <v>10.568477666666602</v>
      </c>
    </row>
    <row r="69" spans="1:18" x14ac:dyDescent="0.25">
      <c r="A69" s="5">
        <v>49</v>
      </c>
      <c r="B69" s="6">
        <v>84.454185258999289</v>
      </c>
      <c r="C69" s="6">
        <f>84.4541852589992 * $B$37 / 100</f>
        <v>84.454185258999203</v>
      </c>
      <c r="D69" s="6">
        <v>10.64103966666667</v>
      </c>
      <c r="E69" s="7">
        <f>10.6410396666666 * $B$37 / 100</f>
        <v>10.6410396666666</v>
      </c>
    </row>
    <row r="70" spans="1:18" x14ac:dyDescent="0.25">
      <c r="A70" s="5">
        <v>55</v>
      </c>
      <c r="B70" s="6">
        <v>85.030084304837828</v>
      </c>
      <c r="C70" s="6">
        <f>85.0300843048378 * $B$37 / 100</f>
        <v>85.0300843048378</v>
      </c>
      <c r="D70" s="6">
        <v>10.713601666666669</v>
      </c>
      <c r="E70" s="7">
        <f>10.7136016666666 * $B$37 / 100</f>
        <v>10.7136016666666</v>
      </c>
    </row>
    <row r="71" spans="1:18" x14ac:dyDescent="0.25">
      <c r="A71" s="5">
        <v>61</v>
      </c>
      <c r="B71" s="6">
        <v>85.605983350676382</v>
      </c>
      <c r="C71" s="6">
        <f>85.6059833506763 * $B$37 / 100</f>
        <v>85.605983350676283</v>
      </c>
      <c r="D71" s="6">
        <v>10.78616366666667</v>
      </c>
      <c r="E71" s="7">
        <f>10.7861636666666 * $B$37 / 100</f>
        <v>10.786163666666601</v>
      </c>
    </row>
    <row r="72" spans="1:18" x14ac:dyDescent="0.25">
      <c r="A72" s="5">
        <v>68</v>
      </c>
      <c r="B72" s="6">
        <v>86.277865570821362</v>
      </c>
      <c r="C72" s="6">
        <f>86.2778655708213 * $B$37 / 100</f>
        <v>86.277865570821305</v>
      </c>
      <c r="D72" s="6">
        <v>10.87081933333333</v>
      </c>
      <c r="E72" s="7">
        <f>10.8708193333333 * $B$37 / 100</f>
        <v>10.8708193333333</v>
      </c>
    </row>
    <row r="73" spans="1:18" x14ac:dyDescent="0.25">
      <c r="A73" s="5">
        <v>74</v>
      </c>
      <c r="B73" s="6">
        <v>86.853764616659902</v>
      </c>
      <c r="C73" s="6">
        <f>86.8537646166599 * $B$37 / 100</f>
        <v>86.853764616659902</v>
      </c>
      <c r="D73" s="6">
        <v>10.943381333333329</v>
      </c>
      <c r="E73" s="7">
        <f>10.9433813333333 * $B$37 / 100</f>
        <v>10.943381333333299</v>
      </c>
    </row>
    <row r="74" spans="1:18" x14ac:dyDescent="0.25">
      <c r="A74" s="8">
        <v>80</v>
      </c>
      <c r="B74" s="9">
        <v>87.429663662498456</v>
      </c>
      <c r="C74" s="9">
        <f>87.4296636624984 * $B$37 / 100</f>
        <v>87.429663662498399</v>
      </c>
      <c r="D74" s="9">
        <v>11.015943333333331</v>
      </c>
      <c r="E74" s="10">
        <f>11.0159433333333 * $B$37 / 100</f>
        <v>11.015943333333301</v>
      </c>
    </row>
    <row r="76" spans="1:18" ht="28.9" customHeight="1" x14ac:dyDescent="0.5">
      <c r="A76" s="1" t="s">
        <v>25</v>
      </c>
      <c r="B76" s="1"/>
    </row>
    <row r="77" spans="1:18" x14ac:dyDescent="0.25">
      <c r="A77" s="21" t="s">
        <v>26</v>
      </c>
      <c r="B77" s="22">
        <v>0</v>
      </c>
      <c r="C77" s="22">
        <v>6.25</v>
      </c>
      <c r="D77" s="22">
        <v>12.5</v>
      </c>
      <c r="E77" s="22">
        <v>18.75</v>
      </c>
      <c r="F77" s="22">
        <v>25</v>
      </c>
      <c r="G77" s="22">
        <v>31.25</v>
      </c>
      <c r="H77" s="22">
        <v>37.5</v>
      </c>
      <c r="I77" s="22">
        <v>43.75</v>
      </c>
      <c r="J77" s="22">
        <v>50</v>
      </c>
      <c r="K77" s="22">
        <v>56.25</v>
      </c>
      <c r="L77" s="22">
        <v>62.5</v>
      </c>
      <c r="M77" s="22">
        <v>68.75</v>
      </c>
      <c r="N77" s="22">
        <v>75</v>
      </c>
      <c r="O77" s="22">
        <v>81.25</v>
      </c>
      <c r="P77" s="22">
        <v>87.5</v>
      </c>
      <c r="Q77" s="22">
        <v>93.75</v>
      </c>
      <c r="R77" s="23">
        <v>100</v>
      </c>
    </row>
    <row r="78" spans="1:18" x14ac:dyDescent="0.25">
      <c r="A78" s="5" t="s">
        <v>27</v>
      </c>
      <c r="B78" s="6">
        <f>0 * $B$39 + (1 - 0) * $B$38</f>
        <v>14.7</v>
      </c>
      <c r="C78" s="6">
        <f>0.0625 * $B$39 + (1 - 0.0625) * $B$38</f>
        <v>14.344250000000001</v>
      </c>
      <c r="D78" s="6">
        <f>0.125 * $B$39 + (1 - 0.125) * $B$38</f>
        <v>13.988499999999998</v>
      </c>
      <c r="E78" s="6">
        <f>0.1875 * $B$39 + (1 - 0.1875) * $B$38</f>
        <v>13.63275</v>
      </c>
      <c r="F78" s="6">
        <f>0.25 * $B$39 + (1 - 0.25) * $B$38</f>
        <v>13.276999999999997</v>
      </c>
      <c r="G78" s="6">
        <f>0.3125 * $B$39 + (1 - 0.3125) * $B$38</f>
        <v>12.921249999999999</v>
      </c>
      <c r="H78" s="6">
        <f>0.375 * $B$39 + (1 - 0.375) * $B$38</f>
        <v>12.5655</v>
      </c>
      <c r="I78" s="6">
        <f>0.4375 * $B$39 + (1 - 0.4375) * $B$38</f>
        <v>12.20975</v>
      </c>
      <c r="J78" s="6">
        <f>0.5 * $B$39 + (1 - 0.5) * $B$38</f>
        <v>11.853999999999999</v>
      </c>
      <c r="K78" s="6">
        <f>0.5625 * $B$39 + (1 - 0.5625) * $B$38</f>
        <v>11.498249999999999</v>
      </c>
      <c r="L78" s="6">
        <f>0.625 * $B$39 + (1 - 0.625) * $B$38</f>
        <v>11.142499999999998</v>
      </c>
      <c r="M78" s="6">
        <f>0.6875 * $B$39 + (1 - 0.6875) * $B$38</f>
        <v>10.78675</v>
      </c>
      <c r="N78" s="6">
        <f>0.75 * $B$39 + (1 - 0.75) * $B$38</f>
        <v>10.430999999999999</v>
      </c>
      <c r="O78" s="6">
        <f>0.8125 * $B$39 + (1 - 0.8125) * $B$38</f>
        <v>10.075249999999999</v>
      </c>
      <c r="P78" s="6">
        <f>0.875 * $B$39 + (1 - 0.875) * $B$38</f>
        <v>9.7195</v>
      </c>
      <c r="Q78" s="6">
        <f>0.9375 * $B$39 + (1 - 0.9375) * $B$38</f>
        <v>9.3637499999999978</v>
      </c>
      <c r="R78" s="7">
        <f>1 * $B$39 + (1 - 1) * $B$38</f>
        <v>9.0079999999999991</v>
      </c>
    </row>
    <row r="79" spans="1:18" x14ac:dyDescent="0.25">
      <c r="A79" s="8" t="s">
        <v>28</v>
      </c>
      <c r="B79" s="9">
        <f>(0 * $B$39 + (1 - 0) * $B$38) * $B$37 / 100</f>
        <v>14.7</v>
      </c>
      <c r="C79" s="9">
        <f>(0.0625 * $B$39 + (1 - 0.0625) * $B$38) * $B$37 / 100</f>
        <v>14.344249999999999</v>
      </c>
      <c r="D79" s="9">
        <f>(0.125 * $B$39 + (1 - 0.125) * $B$38) * $B$37 / 100</f>
        <v>13.988499999999998</v>
      </c>
      <c r="E79" s="9">
        <f>(0.1875 * $B$39 + (1 - 0.1875) * $B$38) * $B$37 / 100</f>
        <v>13.632749999999998</v>
      </c>
      <c r="F79" s="9">
        <f>(0.25 * $B$39 + (1 - 0.25) * $B$38) * $B$37 / 100</f>
        <v>13.276999999999997</v>
      </c>
      <c r="G79" s="9">
        <f>(0.3125 * $B$39 + (1 - 0.3125) * $B$38) * $B$37 / 100</f>
        <v>12.921249999999997</v>
      </c>
      <c r="H79" s="9">
        <f>(0.375 * $B$39 + (1 - 0.375) * $B$38) * $B$37 / 100</f>
        <v>12.5655</v>
      </c>
      <c r="I79" s="9">
        <f>(0.4375 * $B$39 + (1 - 0.4375) * $B$38) * $B$37 / 100</f>
        <v>12.20975</v>
      </c>
      <c r="J79" s="9">
        <f>(0.5 * $B$39 + (1 - 0.5) * $B$38) * $B$37 / 100</f>
        <v>11.853999999999999</v>
      </c>
      <c r="K79" s="9">
        <f>(0.5625 * $B$39 + (1 - 0.5625) * $B$38) * $B$37 / 100</f>
        <v>11.498249999999999</v>
      </c>
      <c r="L79" s="9">
        <f>(0.625 * $B$39 + (1 - 0.625) * $B$38) * $B$37 / 100</f>
        <v>11.142499999999998</v>
      </c>
      <c r="M79" s="9">
        <f>(0.6875 * $B$39 + (1 - 0.6875) * $B$38) * $B$37 / 100</f>
        <v>10.78675</v>
      </c>
      <c r="N79" s="9">
        <f>(0.75 * $B$39 + (1 - 0.75) * $B$38) * $B$37 / 100</f>
        <v>10.430999999999999</v>
      </c>
      <c r="O79" s="9">
        <f>(0.8125 * $B$39 + (1 - 0.8125) * $B$38) * $B$37 / 100</f>
        <v>10.075249999999999</v>
      </c>
      <c r="P79" s="9">
        <f>(0.875 * $B$39 + (1 - 0.875) * $B$38) * $B$37 / 100</f>
        <v>9.7195</v>
      </c>
      <c r="Q79" s="9">
        <f>(0.9375 * $B$39 + (1 - 0.9375) * $B$38) * $B$37 / 100</f>
        <v>9.3637499999999978</v>
      </c>
      <c r="R79" s="10">
        <f>(1 * $B$39 + (1 - 1) * $B$38) * $B$37 / 100</f>
        <v>9.0079999999999991</v>
      </c>
    </row>
    <row r="81" spans="1:34" ht="28.9" customHeight="1" x14ac:dyDescent="0.5">
      <c r="A81" s="1" t="s">
        <v>29</v>
      </c>
      <c r="B81" s="1"/>
    </row>
    <row r="82" spans="1:34" x14ac:dyDescent="0.25">
      <c r="A82" s="24" t="s">
        <v>30</v>
      </c>
      <c r="B82" s="25" t="s">
        <v>31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6"/>
    </row>
    <row r="83" spans="1:34" x14ac:dyDescent="0.25">
      <c r="A83" s="27" t="s">
        <v>20</v>
      </c>
      <c r="B83" s="28">
        <v>4.5</v>
      </c>
      <c r="C83" s="28">
        <v>5</v>
      </c>
      <c r="D83" s="28">
        <v>5.5</v>
      </c>
      <c r="E83" s="28">
        <v>6</v>
      </c>
      <c r="F83" s="28">
        <v>6.5</v>
      </c>
      <c r="G83" s="28">
        <v>7</v>
      </c>
      <c r="H83" s="28">
        <v>7.5</v>
      </c>
      <c r="I83" s="28">
        <v>8</v>
      </c>
      <c r="J83" s="28">
        <v>8.5</v>
      </c>
      <c r="K83" s="28">
        <v>9</v>
      </c>
      <c r="L83" s="28">
        <v>9.5</v>
      </c>
      <c r="M83" s="28">
        <v>10</v>
      </c>
      <c r="N83" s="28">
        <v>10.5</v>
      </c>
      <c r="O83" s="28">
        <v>11</v>
      </c>
      <c r="P83" s="28">
        <v>11.5</v>
      </c>
      <c r="Q83" s="28">
        <v>12</v>
      </c>
      <c r="R83" s="28">
        <v>12.5</v>
      </c>
      <c r="S83" s="28">
        <v>13</v>
      </c>
      <c r="T83" s="28">
        <v>13.5</v>
      </c>
      <c r="U83" s="28">
        <v>14</v>
      </c>
      <c r="V83" s="28">
        <v>14.5</v>
      </c>
      <c r="W83" s="28">
        <v>15</v>
      </c>
      <c r="X83" s="28">
        <v>15.5</v>
      </c>
      <c r="Y83" s="28">
        <v>16</v>
      </c>
      <c r="Z83" s="28">
        <v>16.5</v>
      </c>
      <c r="AA83" s="28">
        <v>17</v>
      </c>
      <c r="AB83" s="28">
        <v>17.5</v>
      </c>
      <c r="AC83" s="28">
        <v>18</v>
      </c>
      <c r="AD83" s="28">
        <v>18.5</v>
      </c>
      <c r="AE83" s="28">
        <v>19</v>
      </c>
      <c r="AF83" s="28">
        <v>19.5</v>
      </c>
      <c r="AG83" s="28">
        <v>20</v>
      </c>
      <c r="AH83" s="29">
        <v>20.5</v>
      </c>
    </row>
    <row r="84" spans="1:34" x14ac:dyDescent="0.25">
      <c r="A84" s="30">
        <v>-120</v>
      </c>
      <c r="B84" s="31">
        <v>2.224600000000001</v>
      </c>
      <c r="C84" s="31">
        <v>2.224600000000001</v>
      </c>
      <c r="D84" s="31">
        <v>2.224600000000001</v>
      </c>
      <c r="E84" s="31">
        <v>2.2246000000000001</v>
      </c>
      <c r="F84" s="31">
        <v>2.2246000000000001</v>
      </c>
      <c r="G84" s="31">
        <v>2.224600000000001</v>
      </c>
      <c r="H84" s="31">
        <v>2.2246000000000019</v>
      </c>
      <c r="I84" s="31">
        <v>2.224600000000001</v>
      </c>
      <c r="J84" s="31">
        <v>2.0509499999999998</v>
      </c>
      <c r="K84" s="31">
        <v>1.8773</v>
      </c>
      <c r="L84" s="31">
        <v>1.7036500000000001</v>
      </c>
      <c r="M84" s="31">
        <v>1.5300000000000009</v>
      </c>
      <c r="N84" s="31">
        <v>1.4574</v>
      </c>
      <c r="O84" s="31">
        <v>1.3848</v>
      </c>
      <c r="P84" s="31">
        <v>1.3047</v>
      </c>
      <c r="Q84" s="31">
        <v>1.2245999999999999</v>
      </c>
      <c r="R84" s="31">
        <v>1.17</v>
      </c>
      <c r="S84" s="31">
        <v>1.1153999999999999</v>
      </c>
      <c r="T84" s="31">
        <v>1.0538000000000001</v>
      </c>
      <c r="U84" s="31">
        <v>0.99219999999999986</v>
      </c>
      <c r="V84" s="31">
        <v>0.95690000000000008</v>
      </c>
      <c r="W84" s="31">
        <v>0.9216000000000002</v>
      </c>
      <c r="X84" s="31">
        <v>0.88490000000000024</v>
      </c>
      <c r="Y84" s="31">
        <v>0.84820000000000029</v>
      </c>
      <c r="Z84" s="31">
        <v>0.82210000000000016</v>
      </c>
      <c r="AA84" s="31">
        <v>0.79600000000000026</v>
      </c>
      <c r="AB84" s="31">
        <v>0.77280000000000004</v>
      </c>
      <c r="AC84" s="31">
        <v>0.77280000000000015</v>
      </c>
      <c r="AD84" s="31">
        <v>0.77279999999999993</v>
      </c>
      <c r="AE84" s="31">
        <v>0.77280000000000038</v>
      </c>
      <c r="AF84" s="31">
        <v>0.77280000000000038</v>
      </c>
      <c r="AG84" s="31">
        <v>0.77280000000000015</v>
      </c>
      <c r="AH84" s="32">
        <v>0.77280000000000026</v>
      </c>
    </row>
    <row r="85" spans="1:34" x14ac:dyDescent="0.25">
      <c r="A85" s="30">
        <v>-114</v>
      </c>
      <c r="B85" s="31">
        <v>2.238220000000001</v>
      </c>
      <c r="C85" s="31">
        <v>2.2382200000000001</v>
      </c>
      <c r="D85" s="31">
        <v>2.238220000000001</v>
      </c>
      <c r="E85" s="31">
        <v>2.238220000000001</v>
      </c>
      <c r="F85" s="31">
        <v>2.2382200000000001</v>
      </c>
      <c r="G85" s="31">
        <v>2.2382200000000001</v>
      </c>
      <c r="H85" s="31">
        <v>2.238220000000001</v>
      </c>
      <c r="I85" s="31">
        <v>2.2382200000000001</v>
      </c>
      <c r="J85" s="31">
        <v>2.06229</v>
      </c>
      <c r="K85" s="31">
        <v>1.88636</v>
      </c>
      <c r="L85" s="31">
        <v>1.7104299999999999</v>
      </c>
      <c r="M85" s="31">
        <v>1.5345</v>
      </c>
      <c r="N85" s="31">
        <v>1.4611799999999999</v>
      </c>
      <c r="O85" s="31">
        <v>1.3878600000000001</v>
      </c>
      <c r="P85" s="31">
        <v>1.3076399999999999</v>
      </c>
      <c r="Q85" s="31">
        <v>1.22742</v>
      </c>
      <c r="R85" s="31">
        <v>1.1731499999999999</v>
      </c>
      <c r="S85" s="31">
        <v>1.1188800000000001</v>
      </c>
      <c r="T85" s="31">
        <v>1.05671</v>
      </c>
      <c r="U85" s="31">
        <v>0.99453999999999987</v>
      </c>
      <c r="V85" s="31">
        <v>0.95872999999999986</v>
      </c>
      <c r="W85" s="31">
        <v>0.92292000000000018</v>
      </c>
      <c r="X85" s="31">
        <v>0.88612999999999997</v>
      </c>
      <c r="Y85" s="31">
        <v>0.84934000000000021</v>
      </c>
      <c r="Z85" s="31">
        <v>0.82326999999999972</v>
      </c>
      <c r="AA85" s="31">
        <v>0.79720000000000002</v>
      </c>
      <c r="AB85" s="31">
        <v>0.77376</v>
      </c>
      <c r="AC85" s="31">
        <v>0.77376</v>
      </c>
      <c r="AD85" s="31">
        <v>0.77376</v>
      </c>
      <c r="AE85" s="31">
        <v>0.77376000000000023</v>
      </c>
      <c r="AF85" s="31">
        <v>0.77376000000000011</v>
      </c>
      <c r="AG85" s="31">
        <v>0.77376000000000023</v>
      </c>
      <c r="AH85" s="32">
        <v>0.77376</v>
      </c>
    </row>
    <row r="86" spans="1:34" x14ac:dyDescent="0.25">
      <c r="A86" s="30">
        <v>-108</v>
      </c>
      <c r="B86" s="31">
        <v>2.251840000000001</v>
      </c>
      <c r="C86" s="31">
        <v>2.251840000000001</v>
      </c>
      <c r="D86" s="31">
        <v>2.2518400000000001</v>
      </c>
      <c r="E86" s="31">
        <v>2.251840000000001</v>
      </c>
      <c r="F86" s="31">
        <v>2.2518400000000001</v>
      </c>
      <c r="G86" s="31">
        <v>2.2518400000000001</v>
      </c>
      <c r="H86" s="31">
        <v>2.251840000000001</v>
      </c>
      <c r="I86" s="31">
        <v>2.2518400000000001</v>
      </c>
      <c r="J86" s="31">
        <v>2.073630000000001</v>
      </c>
      <c r="K86" s="31">
        <v>1.895420000000001</v>
      </c>
      <c r="L86" s="31">
        <v>1.717210000000001</v>
      </c>
      <c r="M86" s="31">
        <v>1.539000000000001</v>
      </c>
      <c r="N86" s="31">
        <v>1.46496</v>
      </c>
      <c r="O86" s="31">
        <v>1.3909199999999999</v>
      </c>
      <c r="P86" s="31">
        <v>1.3105800000000001</v>
      </c>
      <c r="Q86" s="31">
        <v>1.23024</v>
      </c>
      <c r="R86" s="31">
        <v>1.1762999999999999</v>
      </c>
      <c r="S86" s="31">
        <v>1.12236</v>
      </c>
      <c r="T86" s="31">
        <v>1.05962</v>
      </c>
      <c r="U86" s="31">
        <v>0.9968800000000001</v>
      </c>
      <c r="V86" s="31">
        <v>0.96056000000000008</v>
      </c>
      <c r="W86" s="31">
        <v>0.92423999999999995</v>
      </c>
      <c r="X86" s="31">
        <v>0.88736000000000004</v>
      </c>
      <c r="Y86" s="31">
        <v>0.85048000000000012</v>
      </c>
      <c r="Z86" s="31">
        <v>0.82444000000000006</v>
      </c>
      <c r="AA86" s="31">
        <v>0.79840000000000022</v>
      </c>
      <c r="AB86" s="31">
        <v>0.77472000000000008</v>
      </c>
      <c r="AC86" s="31">
        <v>0.7747200000000003</v>
      </c>
      <c r="AD86" s="31">
        <v>0.77472000000000008</v>
      </c>
      <c r="AE86" s="31">
        <v>0.77472000000000041</v>
      </c>
      <c r="AF86" s="31">
        <v>0.7747200000000003</v>
      </c>
      <c r="AG86" s="31">
        <v>0.77472000000000019</v>
      </c>
      <c r="AH86" s="32">
        <v>0.77472000000000019</v>
      </c>
    </row>
    <row r="87" spans="1:34" x14ac:dyDescent="0.25">
      <c r="A87" s="30">
        <v>-101</v>
      </c>
      <c r="B87" s="31">
        <v>2.2677299999999998</v>
      </c>
      <c r="C87" s="31">
        <v>2.2677299999999998</v>
      </c>
      <c r="D87" s="31">
        <v>2.2677299999999998</v>
      </c>
      <c r="E87" s="31">
        <v>2.2677299999999998</v>
      </c>
      <c r="F87" s="31">
        <v>2.2677299999999989</v>
      </c>
      <c r="G87" s="31">
        <v>2.2677299999999989</v>
      </c>
      <c r="H87" s="31">
        <v>2.2677299999999998</v>
      </c>
      <c r="I87" s="31">
        <v>2.2677299999999998</v>
      </c>
      <c r="J87" s="31">
        <v>2.0868600000000002</v>
      </c>
      <c r="K87" s="31">
        <v>1.9059900000000001</v>
      </c>
      <c r="L87" s="31">
        <v>1.7251199999999991</v>
      </c>
      <c r="M87" s="31">
        <v>1.5442499999999999</v>
      </c>
      <c r="N87" s="31">
        <v>1.4693700000000001</v>
      </c>
      <c r="O87" s="31">
        <v>1.39449</v>
      </c>
      <c r="P87" s="31">
        <v>1.3140099999999999</v>
      </c>
      <c r="Q87" s="31">
        <v>1.23353</v>
      </c>
      <c r="R87" s="31">
        <v>1.179975</v>
      </c>
      <c r="S87" s="31">
        <v>1.12642</v>
      </c>
      <c r="T87" s="31">
        <v>1.063015</v>
      </c>
      <c r="U87" s="31">
        <v>0.99960999999999989</v>
      </c>
      <c r="V87" s="31">
        <v>0.96269499999999952</v>
      </c>
      <c r="W87" s="31">
        <v>0.92577999999999983</v>
      </c>
      <c r="X87" s="31">
        <v>0.88879499999999978</v>
      </c>
      <c r="Y87" s="31">
        <v>0.85180999999999985</v>
      </c>
      <c r="Z87" s="31">
        <v>0.8258049999999999</v>
      </c>
      <c r="AA87" s="31">
        <v>0.79979999999999996</v>
      </c>
      <c r="AB87" s="31">
        <v>0.77583999999999964</v>
      </c>
      <c r="AC87" s="31">
        <v>0.77583999999999975</v>
      </c>
      <c r="AD87" s="31">
        <v>0.77583999999999986</v>
      </c>
      <c r="AE87" s="31">
        <v>0.77583999999999997</v>
      </c>
      <c r="AF87" s="31">
        <v>0.77583999999999986</v>
      </c>
      <c r="AG87" s="31">
        <v>0.77583999999999975</v>
      </c>
      <c r="AH87" s="32">
        <v>0.77583999999999975</v>
      </c>
    </row>
    <row r="88" spans="1:34" x14ac:dyDescent="0.25">
      <c r="A88" s="30">
        <v>-95</v>
      </c>
      <c r="B88" s="31">
        <v>2.2794500000000002</v>
      </c>
      <c r="C88" s="31">
        <v>2.2794500000000002</v>
      </c>
      <c r="D88" s="31">
        <v>2.2794500000000002</v>
      </c>
      <c r="E88" s="31">
        <v>2.2794499999999989</v>
      </c>
      <c r="F88" s="31">
        <v>2.2794499999999989</v>
      </c>
      <c r="G88" s="31">
        <v>2.2794499999999989</v>
      </c>
      <c r="H88" s="31">
        <v>2.2794500000000002</v>
      </c>
      <c r="I88" s="31">
        <v>2.2794500000000002</v>
      </c>
      <c r="J88" s="31">
        <v>2.0976499999999998</v>
      </c>
      <c r="K88" s="31">
        <v>1.9158499999999989</v>
      </c>
      <c r="L88" s="31">
        <v>1.7340500000000001</v>
      </c>
      <c r="M88" s="31">
        <v>1.5522499999999999</v>
      </c>
      <c r="N88" s="31">
        <v>1.4754</v>
      </c>
      <c r="O88" s="31">
        <v>1.39855</v>
      </c>
      <c r="P88" s="31">
        <v>1.3176749999999999</v>
      </c>
      <c r="Q88" s="31">
        <v>1.2367999999999999</v>
      </c>
      <c r="R88" s="31">
        <v>1.1834249999999999</v>
      </c>
      <c r="S88" s="31">
        <v>1.13005</v>
      </c>
      <c r="T88" s="31">
        <v>1.066775</v>
      </c>
      <c r="U88" s="31">
        <v>1.0035000000000001</v>
      </c>
      <c r="V88" s="31">
        <v>0.96604999999999985</v>
      </c>
      <c r="W88" s="31">
        <v>0.92860000000000009</v>
      </c>
      <c r="X88" s="31">
        <v>0.89127500000000004</v>
      </c>
      <c r="Y88" s="31">
        <v>0.85394999999999999</v>
      </c>
      <c r="Z88" s="31">
        <v>0.8280249999999999</v>
      </c>
      <c r="AA88" s="31">
        <v>0.80209999999999981</v>
      </c>
      <c r="AB88" s="31">
        <v>0.77800000000000002</v>
      </c>
      <c r="AC88" s="31">
        <v>0.77800000000000002</v>
      </c>
      <c r="AD88" s="31">
        <v>0.77800000000000025</v>
      </c>
      <c r="AE88" s="31">
        <v>0.77800000000000025</v>
      </c>
      <c r="AF88" s="31">
        <v>0.77800000000000002</v>
      </c>
      <c r="AG88" s="31">
        <v>0.77800000000000002</v>
      </c>
      <c r="AH88" s="32">
        <v>0.77800000000000002</v>
      </c>
    </row>
    <row r="89" spans="1:34" x14ac:dyDescent="0.25">
      <c r="A89" s="30">
        <v>-89</v>
      </c>
      <c r="B89" s="31">
        <v>2.2907900000000012</v>
      </c>
      <c r="C89" s="31">
        <v>2.2907899999999999</v>
      </c>
      <c r="D89" s="31">
        <v>2.2907899999999999</v>
      </c>
      <c r="E89" s="31">
        <v>2.2907899999999999</v>
      </c>
      <c r="F89" s="31">
        <v>2.290789999999999</v>
      </c>
      <c r="G89" s="31">
        <v>2.2907899999999999</v>
      </c>
      <c r="H89" s="31">
        <v>2.2907899999999999</v>
      </c>
      <c r="I89" s="31">
        <v>2.290789999999999</v>
      </c>
      <c r="J89" s="31">
        <v>2.10833</v>
      </c>
      <c r="K89" s="31">
        <v>1.92587</v>
      </c>
      <c r="L89" s="31">
        <v>1.743409999999999</v>
      </c>
      <c r="M89" s="31">
        <v>1.5609499999999989</v>
      </c>
      <c r="N89" s="31">
        <v>1.4818800000000001</v>
      </c>
      <c r="O89" s="31">
        <v>1.4028099999999999</v>
      </c>
      <c r="P89" s="31">
        <v>1.321485</v>
      </c>
      <c r="Q89" s="31">
        <v>1.2401599999999999</v>
      </c>
      <c r="R89" s="31">
        <v>1.1869350000000001</v>
      </c>
      <c r="S89" s="31">
        <v>1.13371</v>
      </c>
      <c r="T89" s="31">
        <v>1.070705</v>
      </c>
      <c r="U89" s="31">
        <v>1.0077</v>
      </c>
      <c r="V89" s="31">
        <v>0.96971000000000018</v>
      </c>
      <c r="W89" s="31">
        <v>0.93171999999999977</v>
      </c>
      <c r="X89" s="31">
        <v>0.89400499999999994</v>
      </c>
      <c r="Y89" s="31">
        <v>0.85629</v>
      </c>
      <c r="Z89" s="31">
        <v>0.83045499999999994</v>
      </c>
      <c r="AA89" s="31">
        <v>0.80462000000000011</v>
      </c>
      <c r="AB89" s="31">
        <v>0.78040000000000009</v>
      </c>
      <c r="AC89" s="31">
        <v>0.7804000000000002</v>
      </c>
      <c r="AD89" s="31">
        <v>0.78039999999999998</v>
      </c>
      <c r="AE89" s="31">
        <v>0.7804000000000002</v>
      </c>
      <c r="AF89" s="31">
        <v>0.78040000000000032</v>
      </c>
      <c r="AG89" s="31">
        <v>0.7804000000000002</v>
      </c>
      <c r="AH89" s="32">
        <v>0.78039999999999998</v>
      </c>
    </row>
    <row r="90" spans="1:34" x14ac:dyDescent="0.25">
      <c r="A90" s="30">
        <v>-83</v>
      </c>
      <c r="B90" s="31">
        <v>2.30213</v>
      </c>
      <c r="C90" s="31">
        <v>2.30213</v>
      </c>
      <c r="D90" s="31">
        <v>2.30213</v>
      </c>
      <c r="E90" s="31">
        <v>2.30213</v>
      </c>
      <c r="F90" s="31">
        <v>2.3021299999999991</v>
      </c>
      <c r="G90" s="31">
        <v>2.30213</v>
      </c>
      <c r="H90" s="31">
        <v>2.30213</v>
      </c>
      <c r="I90" s="31">
        <v>2.30213</v>
      </c>
      <c r="J90" s="31">
        <v>2.1190099999999998</v>
      </c>
      <c r="K90" s="31">
        <v>1.9358900000000001</v>
      </c>
      <c r="L90" s="31">
        <v>1.7527699999999999</v>
      </c>
      <c r="M90" s="31">
        <v>1.56965</v>
      </c>
      <c r="N90" s="31">
        <v>1.4883599999999999</v>
      </c>
      <c r="O90" s="31">
        <v>1.40707</v>
      </c>
      <c r="P90" s="31">
        <v>1.3252949999999999</v>
      </c>
      <c r="Q90" s="31">
        <v>1.24352</v>
      </c>
      <c r="R90" s="31">
        <v>1.190445</v>
      </c>
      <c r="S90" s="31">
        <v>1.13737</v>
      </c>
      <c r="T90" s="31">
        <v>1.074635</v>
      </c>
      <c r="U90" s="31">
        <v>1.0119</v>
      </c>
      <c r="V90" s="31">
        <v>0.97337000000000018</v>
      </c>
      <c r="W90" s="31">
        <v>0.93483999999999967</v>
      </c>
      <c r="X90" s="31">
        <v>0.89673499999999984</v>
      </c>
      <c r="Y90" s="31">
        <v>0.85862999999999989</v>
      </c>
      <c r="Z90" s="31">
        <v>0.83288499999999988</v>
      </c>
      <c r="AA90" s="31">
        <v>0.80713999999999986</v>
      </c>
      <c r="AB90" s="31">
        <v>0.78280000000000005</v>
      </c>
      <c r="AC90" s="31">
        <v>0.78280000000000005</v>
      </c>
      <c r="AD90" s="31">
        <v>0.78279999999999983</v>
      </c>
      <c r="AE90" s="31">
        <v>0.78280000000000005</v>
      </c>
      <c r="AF90" s="31">
        <v>0.78280000000000027</v>
      </c>
      <c r="AG90" s="31">
        <v>0.7828000000000005</v>
      </c>
      <c r="AH90" s="32">
        <v>0.78279999999999994</v>
      </c>
    </row>
    <row r="91" spans="1:34" x14ac:dyDescent="0.25">
      <c r="A91" s="30">
        <v>-76</v>
      </c>
      <c r="B91" s="31">
        <v>2.3153600000000001</v>
      </c>
      <c r="C91" s="31">
        <v>2.3153600000000019</v>
      </c>
      <c r="D91" s="31">
        <v>2.315360000000001</v>
      </c>
      <c r="E91" s="31">
        <v>2.3153600000000001</v>
      </c>
      <c r="F91" s="31">
        <v>2.3153599999999992</v>
      </c>
      <c r="G91" s="31">
        <v>2.3153600000000001</v>
      </c>
      <c r="H91" s="31">
        <v>2.315360000000001</v>
      </c>
      <c r="I91" s="31">
        <v>2.3153600000000001</v>
      </c>
      <c r="J91" s="31">
        <v>2.1314700000000011</v>
      </c>
      <c r="K91" s="31">
        <v>1.947580000000001</v>
      </c>
      <c r="L91" s="31">
        <v>1.76369</v>
      </c>
      <c r="M91" s="31">
        <v>1.579800000000001</v>
      </c>
      <c r="N91" s="31">
        <v>1.4959199999999999</v>
      </c>
      <c r="O91" s="31">
        <v>1.41204</v>
      </c>
      <c r="P91" s="31">
        <v>1.3297399999999999</v>
      </c>
      <c r="Q91" s="31">
        <v>1.247440000000001</v>
      </c>
      <c r="R91" s="31">
        <v>1.1945399999999999</v>
      </c>
      <c r="S91" s="31">
        <v>1.14164</v>
      </c>
      <c r="T91" s="31">
        <v>1.0792200000000001</v>
      </c>
      <c r="U91" s="31">
        <v>1.0167999999999999</v>
      </c>
      <c r="V91" s="31">
        <v>0.97763999999999995</v>
      </c>
      <c r="W91" s="31">
        <v>0.93848000000000009</v>
      </c>
      <c r="X91" s="31">
        <v>0.89991999999999972</v>
      </c>
      <c r="Y91" s="31">
        <v>0.8613599999999999</v>
      </c>
      <c r="Z91" s="31">
        <v>0.83572000000000013</v>
      </c>
      <c r="AA91" s="31">
        <v>0.81008000000000002</v>
      </c>
      <c r="AB91" s="31">
        <v>0.78559999999999997</v>
      </c>
      <c r="AC91" s="31">
        <v>0.78560000000000008</v>
      </c>
      <c r="AD91" s="31">
        <v>0.78560000000000008</v>
      </c>
      <c r="AE91" s="31">
        <v>0.7856000000000003</v>
      </c>
      <c r="AF91" s="31">
        <v>0.78560000000000019</v>
      </c>
      <c r="AG91" s="31">
        <v>0.78560000000000008</v>
      </c>
      <c r="AH91" s="32">
        <v>0.78560000000000019</v>
      </c>
    </row>
    <row r="92" spans="1:34" x14ac:dyDescent="0.25">
      <c r="A92" s="30">
        <v>-70</v>
      </c>
      <c r="B92" s="31">
        <v>2.3267000000000011</v>
      </c>
      <c r="C92" s="31">
        <v>2.3267000000000002</v>
      </c>
      <c r="D92" s="31">
        <v>2.3267000000000011</v>
      </c>
      <c r="E92" s="31">
        <v>2.3267000000000011</v>
      </c>
      <c r="F92" s="31">
        <v>2.3267000000000002</v>
      </c>
      <c r="G92" s="31">
        <v>2.3266999999999989</v>
      </c>
      <c r="H92" s="31">
        <v>2.3267000000000002</v>
      </c>
      <c r="I92" s="31">
        <v>2.3267000000000002</v>
      </c>
      <c r="J92" s="31">
        <v>2.1421500000000009</v>
      </c>
      <c r="K92" s="31">
        <v>1.9576</v>
      </c>
      <c r="L92" s="31">
        <v>1.77305</v>
      </c>
      <c r="M92" s="31">
        <v>1.5885</v>
      </c>
      <c r="N92" s="31">
        <v>1.5024</v>
      </c>
      <c r="O92" s="31">
        <v>1.416300000000001</v>
      </c>
      <c r="P92" s="31">
        <v>1.33355</v>
      </c>
      <c r="Q92" s="31">
        <v>1.2507999999999999</v>
      </c>
      <c r="R92" s="31">
        <v>1.1980500000000001</v>
      </c>
      <c r="S92" s="31">
        <v>1.1453</v>
      </c>
      <c r="T92" s="31">
        <v>1.0831500000000001</v>
      </c>
      <c r="U92" s="31">
        <v>1.0209999999999999</v>
      </c>
      <c r="V92" s="31">
        <v>0.98130000000000006</v>
      </c>
      <c r="W92" s="31">
        <v>0.94159999999999999</v>
      </c>
      <c r="X92" s="31">
        <v>0.9026500000000004</v>
      </c>
      <c r="Y92" s="31">
        <v>0.86370000000000013</v>
      </c>
      <c r="Z92" s="31">
        <v>0.83814999999999995</v>
      </c>
      <c r="AA92" s="31">
        <v>0.8126000000000001</v>
      </c>
      <c r="AB92" s="31">
        <v>0.78800000000000003</v>
      </c>
      <c r="AC92" s="31">
        <v>0.78799999999999992</v>
      </c>
      <c r="AD92" s="31">
        <v>0.78799999999999992</v>
      </c>
      <c r="AE92" s="31">
        <v>0.78800000000000048</v>
      </c>
      <c r="AF92" s="31">
        <v>0.78800000000000014</v>
      </c>
      <c r="AG92" s="31">
        <v>0.78800000000000037</v>
      </c>
      <c r="AH92" s="32">
        <v>0.78800000000000003</v>
      </c>
    </row>
    <row r="93" spans="1:34" x14ac:dyDescent="0.25">
      <c r="A93" s="30">
        <v>-64</v>
      </c>
      <c r="B93" s="31">
        <v>2.338039999999999</v>
      </c>
      <c r="C93" s="31">
        <v>2.3380399999999999</v>
      </c>
      <c r="D93" s="31">
        <v>2.338039999999999</v>
      </c>
      <c r="E93" s="31">
        <v>2.338039999999999</v>
      </c>
      <c r="F93" s="31">
        <v>2.338039999999999</v>
      </c>
      <c r="G93" s="31">
        <v>2.3380399999999981</v>
      </c>
      <c r="H93" s="31">
        <v>2.3380399999999999</v>
      </c>
      <c r="I93" s="31">
        <v>2.338039999999999</v>
      </c>
      <c r="J93" s="31">
        <v>2.1528299999999998</v>
      </c>
      <c r="K93" s="31">
        <v>1.967619999999999</v>
      </c>
      <c r="L93" s="31">
        <v>1.7824099999999989</v>
      </c>
      <c r="M93" s="31">
        <v>1.5972</v>
      </c>
      <c r="N93" s="31">
        <v>1.50888</v>
      </c>
      <c r="O93" s="31">
        <v>1.42056</v>
      </c>
      <c r="P93" s="31">
        <v>1.3373600000000001</v>
      </c>
      <c r="Q93" s="31">
        <v>1.2541599999999991</v>
      </c>
      <c r="R93" s="31">
        <v>1.20156</v>
      </c>
      <c r="S93" s="31">
        <v>1.14896</v>
      </c>
      <c r="T93" s="31">
        <v>1.0870799999999989</v>
      </c>
      <c r="U93" s="31">
        <v>1.025199999999999</v>
      </c>
      <c r="V93" s="31">
        <v>0.98495999999999939</v>
      </c>
      <c r="W93" s="31">
        <v>0.94471999999999956</v>
      </c>
      <c r="X93" s="31">
        <v>0.90537999999999963</v>
      </c>
      <c r="Y93" s="31">
        <v>0.86603999999999959</v>
      </c>
      <c r="Z93" s="31">
        <v>0.84057999999999966</v>
      </c>
      <c r="AA93" s="31">
        <v>0.81511999999999962</v>
      </c>
      <c r="AB93" s="31">
        <v>0.79039999999999966</v>
      </c>
      <c r="AC93" s="31">
        <v>0.79039999999999977</v>
      </c>
      <c r="AD93" s="31">
        <v>0.79039999999999955</v>
      </c>
      <c r="AE93" s="31">
        <v>0.79039999999999999</v>
      </c>
      <c r="AF93" s="31">
        <v>0.79039999999999999</v>
      </c>
      <c r="AG93" s="31">
        <v>0.79039999999999988</v>
      </c>
      <c r="AH93" s="32">
        <v>0.79039999999999966</v>
      </c>
    </row>
    <row r="94" spans="1:34" x14ac:dyDescent="0.25">
      <c r="A94" s="30">
        <v>-58</v>
      </c>
      <c r="B94" s="31">
        <v>2.3493800000000009</v>
      </c>
      <c r="C94" s="31">
        <v>2.3493800000000009</v>
      </c>
      <c r="D94" s="31">
        <v>2.3493800000000009</v>
      </c>
      <c r="E94" s="31">
        <v>2.34938</v>
      </c>
      <c r="F94" s="31">
        <v>2.34938</v>
      </c>
      <c r="G94" s="31">
        <v>2.34938</v>
      </c>
      <c r="H94" s="31">
        <v>2.34938</v>
      </c>
      <c r="I94" s="31">
        <v>2.34938</v>
      </c>
      <c r="J94" s="31">
        <v>2.16351</v>
      </c>
      <c r="K94" s="31">
        <v>1.977640000000001</v>
      </c>
      <c r="L94" s="31">
        <v>1.7917700000000001</v>
      </c>
      <c r="M94" s="31">
        <v>1.605900000000001</v>
      </c>
      <c r="N94" s="31">
        <v>1.5153600000000009</v>
      </c>
      <c r="O94" s="31">
        <v>1.42482</v>
      </c>
      <c r="P94" s="31">
        <v>1.34117</v>
      </c>
      <c r="Q94" s="31">
        <v>1.25752</v>
      </c>
      <c r="R94" s="31">
        <v>1.205070000000001</v>
      </c>
      <c r="S94" s="31">
        <v>1.15262</v>
      </c>
      <c r="T94" s="31">
        <v>1.09101</v>
      </c>
      <c r="U94" s="31">
        <v>1.0294000000000001</v>
      </c>
      <c r="V94" s="31">
        <v>0.98862000000000017</v>
      </c>
      <c r="W94" s="31">
        <v>0.9478399999999999</v>
      </c>
      <c r="X94" s="31">
        <v>0.90810999999999997</v>
      </c>
      <c r="Y94" s="31">
        <v>0.86838000000000004</v>
      </c>
      <c r="Z94" s="31">
        <v>0.84301000000000026</v>
      </c>
      <c r="AA94" s="31">
        <v>0.81764000000000026</v>
      </c>
      <c r="AB94" s="31">
        <v>0.79280000000000006</v>
      </c>
      <c r="AC94" s="31">
        <v>0.79280000000000017</v>
      </c>
      <c r="AD94" s="31">
        <v>0.79280000000000017</v>
      </c>
      <c r="AE94" s="31">
        <v>0.79280000000000062</v>
      </c>
      <c r="AF94" s="31">
        <v>0.79280000000000039</v>
      </c>
      <c r="AG94" s="31">
        <v>0.79280000000000039</v>
      </c>
      <c r="AH94" s="32">
        <v>0.79280000000000028</v>
      </c>
    </row>
    <row r="95" spans="1:34" x14ac:dyDescent="0.25">
      <c r="A95" s="30">
        <v>-51</v>
      </c>
      <c r="B95" s="31">
        <v>2.3626100000000001</v>
      </c>
      <c r="C95" s="31">
        <v>2.3626100000000001</v>
      </c>
      <c r="D95" s="31">
        <v>2.362610000000001</v>
      </c>
      <c r="E95" s="31">
        <v>2.3626100000000001</v>
      </c>
      <c r="F95" s="31">
        <v>2.3626100000000001</v>
      </c>
      <c r="G95" s="31">
        <v>2.3626100000000001</v>
      </c>
      <c r="H95" s="31">
        <v>2.3626100000000001</v>
      </c>
      <c r="I95" s="31">
        <v>2.3626100000000001</v>
      </c>
      <c r="J95" s="31">
        <v>2.17597</v>
      </c>
      <c r="K95" s="31">
        <v>1.98933</v>
      </c>
      <c r="L95" s="31">
        <v>1.8026899999999999</v>
      </c>
      <c r="M95" s="31">
        <v>1.61605</v>
      </c>
      <c r="N95" s="31">
        <v>1.5229200000000001</v>
      </c>
      <c r="O95" s="31">
        <v>1.4297899999999999</v>
      </c>
      <c r="P95" s="31">
        <v>1.345615</v>
      </c>
      <c r="Q95" s="31">
        <v>1.2614399999999999</v>
      </c>
      <c r="R95" s="31">
        <v>1.209165</v>
      </c>
      <c r="S95" s="31">
        <v>1.15689</v>
      </c>
      <c r="T95" s="31">
        <v>1.0955950000000001</v>
      </c>
      <c r="U95" s="31">
        <v>1.0343</v>
      </c>
      <c r="V95" s="31">
        <v>0.99288999999999994</v>
      </c>
      <c r="W95" s="31">
        <v>0.95147999999999999</v>
      </c>
      <c r="X95" s="31">
        <v>0.91129499999999986</v>
      </c>
      <c r="Y95" s="31">
        <v>0.87110999999999994</v>
      </c>
      <c r="Z95" s="31">
        <v>0.84584500000000029</v>
      </c>
      <c r="AA95" s="31">
        <v>0.82057999999999975</v>
      </c>
      <c r="AB95" s="31">
        <v>0.79560000000000008</v>
      </c>
      <c r="AC95" s="31">
        <v>0.79560000000000008</v>
      </c>
      <c r="AD95" s="31">
        <v>0.79559999999999997</v>
      </c>
      <c r="AE95" s="31">
        <v>0.79560000000000042</v>
      </c>
      <c r="AF95" s="31">
        <v>0.79559999999999997</v>
      </c>
      <c r="AG95" s="31">
        <v>0.79560000000000008</v>
      </c>
      <c r="AH95" s="32">
        <v>0.79560000000000008</v>
      </c>
    </row>
    <row r="96" spans="1:34" x14ac:dyDescent="0.25">
      <c r="A96" s="30">
        <v>-45</v>
      </c>
      <c r="B96" s="31">
        <v>2.3739499999999998</v>
      </c>
      <c r="C96" s="31">
        <v>2.3739500000000011</v>
      </c>
      <c r="D96" s="31">
        <v>2.3739499999999998</v>
      </c>
      <c r="E96" s="31">
        <v>2.3739499999999998</v>
      </c>
      <c r="F96" s="31">
        <v>2.3739499999999998</v>
      </c>
      <c r="G96" s="31">
        <v>2.3739499999999989</v>
      </c>
      <c r="H96" s="31">
        <v>2.3739499999999998</v>
      </c>
      <c r="I96" s="31">
        <v>2.3739499999999989</v>
      </c>
      <c r="J96" s="31">
        <v>2.1866500000000002</v>
      </c>
      <c r="K96" s="31">
        <v>1.99935</v>
      </c>
      <c r="L96" s="31">
        <v>1.8120499999999999</v>
      </c>
      <c r="M96" s="31">
        <v>1.6247499999999999</v>
      </c>
      <c r="N96" s="31">
        <v>1.529399999999999</v>
      </c>
      <c r="O96" s="31">
        <v>1.43405</v>
      </c>
      <c r="P96" s="31">
        <v>1.3494250000000001</v>
      </c>
      <c r="Q96" s="31">
        <v>1.264800000000001</v>
      </c>
      <c r="R96" s="31">
        <v>1.2126749999999999</v>
      </c>
      <c r="S96" s="31">
        <v>1.16055</v>
      </c>
      <c r="T96" s="31">
        <v>1.0995250000000001</v>
      </c>
      <c r="U96" s="31">
        <v>1.0385</v>
      </c>
      <c r="V96" s="31">
        <v>0.99654999999999994</v>
      </c>
      <c r="W96" s="31">
        <v>0.95459999999999967</v>
      </c>
      <c r="X96" s="31">
        <v>0.91402499999999975</v>
      </c>
      <c r="Y96" s="31">
        <v>0.87344999999999984</v>
      </c>
      <c r="Z96" s="31">
        <v>0.84827499999999989</v>
      </c>
      <c r="AA96" s="31">
        <v>0.82309999999999983</v>
      </c>
      <c r="AB96" s="31">
        <v>0.79799999999999982</v>
      </c>
      <c r="AC96" s="31">
        <v>0.79799999999999993</v>
      </c>
      <c r="AD96" s="31">
        <v>0.79799999999999982</v>
      </c>
      <c r="AE96" s="31">
        <v>0.79799999999999993</v>
      </c>
      <c r="AF96" s="31">
        <v>0.79800000000000004</v>
      </c>
      <c r="AG96" s="31">
        <v>0.79800000000000004</v>
      </c>
      <c r="AH96" s="32">
        <v>0.79800000000000004</v>
      </c>
    </row>
    <row r="97" spans="1:34" x14ac:dyDescent="0.25">
      <c r="A97" s="30">
        <v>-39</v>
      </c>
      <c r="B97" s="31">
        <v>2.3852899999999999</v>
      </c>
      <c r="C97" s="31">
        <v>2.3852899999999999</v>
      </c>
      <c r="D97" s="31">
        <v>2.3852899999999999</v>
      </c>
      <c r="E97" s="31">
        <v>2.3852899999999999</v>
      </c>
      <c r="F97" s="31">
        <v>2.385289999999999</v>
      </c>
      <c r="G97" s="31">
        <v>2.385289999999999</v>
      </c>
      <c r="H97" s="31">
        <v>2.3852899999999999</v>
      </c>
      <c r="I97" s="31">
        <v>2.3852899999999999</v>
      </c>
      <c r="J97" s="31">
        <v>2.19733</v>
      </c>
      <c r="K97" s="31">
        <v>2.0093700000000001</v>
      </c>
      <c r="L97" s="31">
        <v>1.82141</v>
      </c>
      <c r="M97" s="31">
        <v>1.6334500000000001</v>
      </c>
      <c r="N97" s="31">
        <v>1.5358799999999999</v>
      </c>
      <c r="O97" s="31">
        <v>1.43831</v>
      </c>
      <c r="P97" s="31">
        <v>1.353235</v>
      </c>
      <c r="Q97" s="31">
        <v>1.26816</v>
      </c>
      <c r="R97" s="31">
        <v>1.2161850000000001</v>
      </c>
      <c r="S97" s="31">
        <v>1.16421</v>
      </c>
      <c r="T97" s="31">
        <v>1.103455000000001</v>
      </c>
      <c r="U97" s="31">
        <v>1.0427</v>
      </c>
      <c r="V97" s="31">
        <v>1.00021</v>
      </c>
      <c r="W97" s="31">
        <v>0.95772000000000002</v>
      </c>
      <c r="X97" s="31">
        <v>0.9167550000000001</v>
      </c>
      <c r="Y97" s="31">
        <v>0.87579000000000029</v>
      </c>
      <c r="Z97" s="31">
        <v>0.85070500000000004</v>
      </c>
      <c r="AA97" s="31">
        <v>0.82562000000000013</v>
      </c>
      <c r="AB97" s="31">
        <v>0.80039999999999978</v>
      </c>
      <c r="AC97" s="31">
        <v>0.8004</v>
      </c>
      <c r="AD97" s="31">
        <v>0.80039999999999978</v>
      </c>
      <c r="AE97" s="31">
        <v>0.80040000000000022</v>
      </c>
      <c r="AF97" s="31">
        <v>0.80040000000000033</v>
      </c>
      <c r="AG97" s="31">
        <v>0.8004</v>
      </c>
      <c r="AH97" s="32">
        <v>0.80040000000000011</v>
      </c>
    </row>
    <row r="98" spans="1:34" x14ac:dyDescent="0.25">
      <c r="A98" s="30">
        <v>-33</v>
      </c>
      <c r="B98" s="31">
        <v>2.39663</v>
      </c>
      <c r="C98" s="31">
        <v>2.3966299999999991</v>
      </c>
      <c r="D98" s="31">
        <v>2.39663</v>
      </c>
      <c r="E98" s="31">
        <v>2.39663</v>
      </c>
      <c r="F98" s="31">
        <v>2.39663</v>
      </c>
      <c r="G98" s="31">
        <v>2.39663</v>
      </c>
      <c r="H98" s="31">
        <v>2.39663</v>
      </c>
      <c r="I98" s="31">
        <v>2.39663</v>
      </c>
      <c r="J98" s="31">
        <v>2.2080099999999998</v>
      </c>
      <c r="K98" s="31">
        <v>2.01939</v>
      </c>
      <c r="L98" s="31">
        <v>1.83077</v>
      </c>
      <c r="M98" s="31">
        <v>1.64215</v>
      </c>
      <c r="N98" s="31">
        <v>1.54236</v>
      </c>
      <c r="O98" s="31">
        <v>1.4425699999999999</v>
      </c>
      <c r="P98" s="31">
        <v>1.3570450000000001</v>
      </c>
      <c r="Q98" s="31">
        <v>1.27152</v>
      </c>
      <c r="R98" s="31">
        <v>1.219695</v>
      </c>
      <c r="S98" s="31">
        <v>1.16787</v>
      </c>
      <c r="T98" s="31">
        <v>1.1073850000000001</v>
      </c>
      <c r="U98" s="31">
        <v>1.0468999999999999</v>
      </c>
      <c r="V98" s="31">
        <v>1.00387</v>
      </c>
      <c r="W98" s="31">
        <v>0.96084000000000003</v>
      </c>
      <c r="X98" s="31">
        <v>0.919485</v>
      </c>
      <c r="Y98" s="31">
        <v>0.87813000000000019</v>
      </c>
      <c r="Z98" s="31">
        <v>0.85313499999999998</v>
      </c>
      <c r="AA98" s="31">
        <v>0.8281400000000001</v>
      </c>
      <c r="AB98" s="31">
        <v>0.80279999999999996</v>
      </c>
      <c r="AC98" s="31">
        <v>0.80279999999999996</v>
      </c>
      <c r="AD98" s="31">
        <v>0.80280000000000018</v>
      </c>
      <c r="AE98" s="31">
        <v>0.80280000000000018</v>
      </c>
      <c r="AF98" s="31">
        <v>0.80280000000000018</v>
      </c>
      <c r="AG98" s="31">
        <v>0.80280000000000018</v>
      </c>
      <c r="AH98" s="32">
        <v>0.80280000000000007</v>
      </c>
    </row>
    <row r="99" spans="1:34" x14ac:dyDescent="0.25">
      <c r="A99" s="30">
        <v>-26</v>
      </c>
      <c r="B99" s="31">
        <v>2.409860000000001</v>
      </c>
      <c r="C99" s="31">
        <v>2.4098600000000001</v>
      </c>
      <c r="D99" s="31">
        <v>2.409860000000001</v>
      </c>
      <c r="E99" s="31">
        <v>2.4098599999999988</v>
      </c>
      <c r="F99" s="31">
        <v>2.4098599999999988</v>
      </c>
      <c r="G99" s="31">
        <v>2.4098600000000001</v>
      </c>
      <c r="H99" s="31">
        <v>2.4098600000000001</v>
      </c>
      <c r="I99" s="31">
        <v>2.4098600000000001</v>
      </c>
      <c r="J99" s="31">
        <v>2.2204700000000011</v>
      </c>
      <c r="K99" s="31">
        <v>2.0310800000000002</v>
      </c>
      <c r="L99" s="31">
        <v>1.84169</v>
      </c>
      <c r="M99" s="31">
        <v>1.6523000000000001</v>
      </c>
      <c r="N99" s="31">
        <v>1.54992</v>
      </c>
      <c r="O99" s="31">
        <v>1.44754</v>
      </c>
      <c r="P99" s="31">
        <v>1.3614900000000001</v>
      </c>
      <c r="Q99" s="31">
        <v>1.2754399999999999</v>
      </c>
      <c r="R99" s="31">
        <v>1.2237899999999999</v>
      </c>
      <c r="S99" s="31">
        <v>1.17214</v>
      </c>
      <c r="T99" s="31">
        <v>1.111969999999999</v>
      </c>
      <c r="U99" s="31">
        <v>1.0518000000000001</v>
      </c>
      <c r="V99" s="31">
        <v>1.00814</v>
      </c>
      <c r="W99" s="31">
        <v>0.96447999999999978</v>
      </c>
      <c r="X99" s="31">
        <v>0.92266999999999988</v>
      </c>
      <c r="Y99" s="31">
        <v>0.88085999999999964</v>
      </c>
      <c r="Z99" s="31">
        <v>0.85597000000000001</v>
      </c>
      <c r="AA99" s="31">
        <v>0.83107999999999982</v>
      </c>
      <c r="AB99" s="31">
        <v>0.80559999999999965</v>
      </c>
      <c r="AC99" s="31">
        <v>0.80559999999999987</v>
      </c>
      <c r="AD99" s="31">
        <v>0.80559999999999976</v>
      </c>
      <c r="AE99" s="31">
        <v>0.80560000000000032</v>
      </c>
      <c r="AF99" s="31">
        <v>0.80559999999999987</v>
      </c>
      <c r="AG99" s="31">
        <v>0.80560000000000009</v>
      </c>
      <c r="AH99" s="32">
        <v>0.80559999999999998</v>
      </c>
    </row>
    <row r="100" spans="1:34" x14ac:dyDescent="0.25">
      <c r="A100" s="30">
        <v>-20</v>
      </c>
      <c r="B100" s="31">
        <v>2.4211999999999998</v>
      </c>
      <c r="C100" s="31">
        <v>2.4211999999999998</v>
      </c>
      <c r="D100" s="31">
        <v>2.4211999999999989</v>
      </c>
      <c r="E100" s="31">
        <v>2.4211999999999998</v>
      </c>
      <c r="F100" s="31">
        <v>2.4211999999999989</v>
      </c>
      <c r="G100" s="31">
        <v>2.4211999999999989</v>
      </c>
      <c r="H100" s="31">
        <v>2.4211999999999989</v>
      </c>
      <c r="I100" s="31">
        <v>2.4211999999999989</v>
      </c>
      <c r="J100" s="31">
        <v>2.23115</v>
      </c>
      <c r="K100" s="31">
        <v>2.0411000000000001</v>
      </c>
      <c r="L100" s="31">
        <v>1.8510500000000001</v>
      </c>
      <c r="M100" s="31">
        <v>1.661</v>
      </c>
      <c r="N100" s="31">
        <v>1.5564</v>
      </c>
      <c r="O100" s="31">
        <v>1.4517999999999991</v>
      </c>
      <c r="P100" s="31">
        <v>1.3653</v>
      </c>
      <c r="Q100" s="31">
        <v>1.2787999999999999</v>
      </c>
      <c r="R100" s="31">
        <v>1.2273000000000001</v>
      </c>
      <c r="S100" s="31">
        <v>1.1758</v>
      </c>
      <c r="T100" s="31">
        <v>1.1158999999999999</v>
      </c>
      <c r="U100" s="31">
        <v>1.056</v>
      </c>
      <c r="V100" s="31">
        <v>1.0118</v>
      </c>
      <c r="W100" s="31">
        <v>0.96759999999999957</v>
      </c>
      <c r="X100" s="31">
        <v>0.92539999999999978</v>
      </c>
      <c r="Y100" s="31">
        <v>0.88319999999999999</v>
      </c>
      <c r="Z100" s="31">
        <v>0.85839999999999972</v>
      </c>
      <c r="AA100" s="31">
        <v>0.83359999999999979</v>
      </c>
      <c r="AB100" s="31">
        <v>0.80799999999999994</v>
      </c>
      <c r="AC100" s="31">
        <v>0.80799999999999994</v>
      </c>
      <c r="AD100" s="31">
        <v>0.80799999999999983</v>
      </c>
      <c r="AE100" s="31">
        <v>0.80800000000000027</v>
      </c>
      <c r="AF100" s="31">
        <v>0.80799999999999994</v>
      </c>
      <c r="AG100" s="31">
        <v>0.80800000000000005</v>
      </c>
      <c r="AH100" s="32">
        <v>0.80800000000000005</v>
      </c>
    </row>
    <row r="101" spans="1:34" x14ac:dyDescent="0.25">
      <c r="A101" s="30">
        <v>-14</v>
      </c>
      <c r="B101" s="31">
        <v>2.4325399999999999</v>
      </c>
      <c r="C101" s="31">
        <v>2.4325400000000008</v>
      </c>
      <c r="D101" s="31">
        <v>2.4325399999999999</v>
      </c>
      <c r="E101" s="31">
        <v>2.4325399999999999</v>
      </c>
      <c r="F101" s="31">
        <v>2.4325399999999999</v>
      </c>
      <c r="G101" s="31">
        <v>2.432539999999999</v>
      </c>
      <c r="H101" s="31">
        <v>2.432539999999999</v>
      </c>
      <c r="I101" s="31">
        <v>2.4325399999999999</v>
      </c>
      <c r="J101" s="31">
        <v>2.2418300000000011</v>
      </c>
      <c r="K101" s="31">
        <v>2.0511200000000001</v>
      </c>
      <c r="L101" s="31">
        <v>1.8604099999999999</v>
      </c>
      <c r="M101" s="31">
        <v>1.6697</v>
      </c>
      <c r="N101" s="31">
        <v>1.56288</v>
      </c>
      <c r="O101" s="31">
        <v>1.4560599999999999</v>
      </c>
      <c r="P101" s="31">
        <v>1.36911</v>
      </c>
      <c r="Q101" s="31">
        <v>1.2821600000000011</v>
      </c>
      <c r="R101" s="31">
        <v>1.23081</v>
      </c>
      <c r="S101" s="31">
        <v>1.17946</v>
      </c>
      <c r="T101" s="31">
        <v>1.1198300000000001</v>
      </c>
      <c r="U101" s="31">
        <v>1.0602</v>
      </c>
      <c r="V101" s="31">
        <v>1.01546</v>
      </c>
      <c r="W101" s="31">
        <v>0.97071999999999969</v>
      </c>
      <c r="X101" s="31">
        <v>0.92812999999999968</v>
      </c>
      <c r="Y101" s="31">
        <v>0.88553999999999988</v>
      </c>
      <c r="Z101" s="31">
        <v>0.86082999999999976</v>
      </c>
      <c r="AA101" s="31">
        <v>0.83611999999999975</v>
      </c>
      <c r="AB101" s="31">
        <v>0.8103999999999999</v>
      </c>
      <c r="AC101" s="31">
        <v>0.81040000000000001</v>
      </c>
      <c r="AD101" s="31">
        <v>0.8103999999999999</v>
      </c>
      <c r="AE101" s="31">
        <v>0.81040000000000034</v>
      </c>
      <c r="AF101" s="31">
        <v>0.81040000000000001</v>
      </c>
      <c r="AG101" s="31">
        <v>0.81040000000000001</v>
      </c>
      <c r="AH101" s="32">
        <v>0.81040000000000001</v>
      </c>
    </row>
    <row r="102" spans="1:34" x14ac:dyDescent="0.25">
      <c r="A102" s="30">
        <v>-8</v>
      </c>
      <c r="B102" s="31">
        <v>2.4438800000000009</v>
      </c>
      <c r="C102" s="31">
        <v>2.4438800000000001</v>
      </c>
      <c r="D102" s="31">
        <v>2.4438800000000001</v>
      </c>
      <c r="E102" s="31">
        <v>2.4438800000000001</v>
      </c>
      <c r="F102" s="31">
        <v>2.4438799999999992</v>
      </c>
      <c r="G102" s="31">
        <v>2.4438799999999992</v>
      </c>
      <c r="H102" s="31">
        <v>2.4438800000000009</v>
      </c>
      <c r="I102" s="31">
        <v>2.4438800000000001</v>
      </c>
      <c r="J102" s="31">
        <v>2.25251</v>
      </c>
      <c r="K102" s="31">
        <v>2.06114</v>
      </c>
      <c r="L102" s="31">
        <v>1.8697699999999999</v>
      </c>
      <c r="M102" s="31">
        <v>1.6783999999999999</v>
      </c>
      <c r="N102" s="31">
        <v>1.5693600000000001</v>
      </c>
      <c r="O102" s="31">
        <v>1.4603200000000001</v>
      </c>
      <c r="P102" s="31">
        <v>1.3729199999999999</v>
      </c>
      <c r="Q102" s="31">
        <v>1.28552</v>
      </c>
      <c r="R102" s="31">
        <v>1.2343200000000001</v>
      </c>
      <c r="S102" s="31">
        <v>1.1831199999999999</v>
      </c>
      <c r="T102" s="31">
        <v>1.1237600000000001</v>
      </c>
      <c r="U102" s="31">
        <v>1.0644</v>
      </c>
      <c r="V102" s="31">
        <v>1.01912</v>
      </c>
      <c r="W102" s="31">
        <v>0.97383999999999993</v>
      </c>
      <c r="X102" s="31">
        <v>0.93085999999999991</v>
      </c>
      <c r="Y102" s="31">
        <v>0.88788</v>
      </c>
      <c r="Z102" s="31">
        <v>0.86325999999999981</v>
      </c>
      <c r="AA102" s="31">
        <v>0.83863999999999983</v>
      </c>
      <c r="AB102" s="31">
        <v>0.81280000000000008</v>
      </c>
      <c r="AC102" s="31">
        <v>0.81279999999999986</v>
      </c>
      <c r="AD102" s="31">
        <v>0.81279999999999974</v>
      </c>
      <c r="AE102" s="31">
        <v>0.81280000000000008</v>
      </c>
      <c r="AF102" s="31">
        <v>0.81279999999999974</v>
      </c>
      <c r="AG102" s="31">
        <v>0.81279999999999986</v>
      </c>
      <c r="AH102" s="32">
        <v>0.81279999999999997</v>
      </c>
    </row>
    <row r="103" spans="1:34" x14ac:dyDescent="0.25">
      <c r="A103" s="30">
        <v>-1</v>
      </c>
      <c r="B103" s="31">
        <v>2.457110000000001</v>
      </c>
      <c r="C103" s="31">
        <v>2.457110000000001</v>
      </c>
      <c r="D103" s="31">
        <v>2.457110000000001</v>
      </c>
      <c r="E103" s="31">
        <v>2.4571100000000001</v>
      </c>
      <c r="F103" s="31">
        <v>2.457110000000001</v>
      </c>
      <c r="G103" s="31">
        <v>2.4571100000000001</v>
      </c>
      <c r="H103" s="31">
        <v>2.457110000000001</v>
      </c>
      <c r="I103" s="31">
        <v>2.4571100000000001</v>
      </c>
      <c r="J103" s="31">
        <v>2.2649699999999999</v>
      </c>
      <c r="K103" s="31">
        <v>2.0728300000000011</v>
      </c>
      <c r="L103" s="31">
        <v>1.88069</v>
      </c>
      <c r="M103" s="31">
        <v>1.68855</v>
      </c>
      <c r="N103" s="31">
        <v>1.5769200000000001</v>
      </c>
      <c r="O103" s="31">
        <v>1.46529</v>
      </c>
      <c r="P103" s="31">
        <v>1.377365</v>
      </c>
      <c r="Q103" s="31">
        <v>1.2894399999999999</v>
      </c>
      <c r="R103" s="31">
        <v>1.238415</v>
      </c>
      <c r="S103" s="31">
        <v>1.1873899999999999</v>
      </c>
      <c r="T103" s="31">
        <v>1.1283449999999999</v>
      </c>
      <c r="U103" s="31">
        <v>1.069300000000001</v>
      </c>
      <c r="V103" s="31">
        <v>1.02339</v>
      </c>
      <c r="W103" s="31">
        <v>0.9774799999999999</v>
      </c>
      <c r="X103" s="31">
        <v>0.93404500000000013</v>
      </c>
      <c r="Y103" s="31">
        <v>0.8906099999999999</v>
      </c>
      <c r="Z103" s="31">
        <v>0.86609500000000006</v>
      </c>
      <c r="AA103" s="31">
        <v>0.84158000000000022</v>
      </c>
      <c r="AB103" s="31">
        <v>0.8156000000000001</v>
      </c>
      <c r="AC103" s="31">
        <v>0.81560000000000021</v>
      </c>
      <c r="AD103" s="31">
        <v>0.81560000000000021</v>
      </c>
      <c r="AE103" s="31">
        <v>0.81560000000000044</v>
      </c>
      <c r="AF103" s="31">
        <v>0.8156000000000001</v>
      </c>
      <c r="AG103" s="31">
        <v>0.81560000000000032</v>
      </c>
      <c r="AH103" s="32">
        <v>0.81560000000000021</v>
      </c>
    </row>
    <row r="104" spans="1:34" x14ac:dyDescent="0.25">
      <c r="A104" s="30">
        <v>5</v>
      </c>
      <c r="B104" s="31">
        <v>2.4709500000000002</v>
      </c>
      <c r="C104" s="31">
        <v>2.4709500000000011</v>
      </c>
      <c r="D104" s="31">
        <v>2.4709500000000002</v>
      </c>
      <c r="E104" s="31">
        <v>2.4709500000000002</v>
      </c>
      <c r="F104" s="31">
        <v>2.4709500000000002</v>
      </c>
      <c r="G104" s="31">
        <v>2.4709499999999989</v>
      </c>
      <c r="H104" s="31">
        <v>2.4709500000000002</v>
      </c>
      <c r="I104" s="31">
        <v>2.4709500000000002</v>
      </c>
      <c r="J104" s="31">
        <v>2.2768250000000001</v>
      </c>
      <c r="K104" s="31">
        <v>2.0827</v>
      </c>
      <c r="L104" s="31">
        <v>1.888574999999999</v>
      </c>
      <c r="M104" s="31">
        <v>1.69445</v>
      </c>
      <c r="N104" s="31">
        <v>1.5835749999999991</v>
      </c>
      <c r="O104" s="31">
        <v>1.4726999999999999</v>
      </c>
      <c r="P104" s="31">
        <v>1.3829750000000001</v>
      </c>
      <c r="Q104" s="31">
        <v>1.29325</v>
      </c>
      <c r="R104" s="31">
        <v>1.2420500000000001</v>
      </c>
      <c r="S104" s="31">
        <v>1.19085</v>
      </c>
      <c r="T104" s="31">
        <v>1.132425</v>
      </c>
      <c r="U104" s="31">
        <v>1.0740000000000001</v>
      </c>
      <c r="V104" s="31">
        <v>1.0279499999999999</v>
      </c>
      <c r="W104" s="31">
        <v>0.98189999999999977</v>
      </c>
      <c r="X104" s="31">
        <v>0.93797499999999978</v>
      </c>
      <c r="Y104" s="31">
        <v>0.89404999999999968</v>
      </c>
      <c r="Z104" s="31">
        <v>0.86919999999999964</v>
      </c>
      <c r="AA104" s="31">
        <v>0.84434999999999971</v>
      </c>
      <c r="AB104" s="31">
        <v>0.8183499999999998</v>
      </c>
      <c r="AC104" s="31">
        <v>0.8183499999999998</v>
      </c>
      <c r="AD104" s="31">
        <v>0.81834999999999991</v>
      </c>
      <c r="AE104" s="31">
        <v>0.81835000000000013</v>
      </c>
      <c r="AF104" s="31">
        <v>0.81835000000000024</v>
      </c>
      <c r="AG104" s="31">
        <v>0.81835000000000002</v>
      </c>
      <c r="AH104" s="32">
        <v>0.81835000000000002</v>
      </c>
    </row>
    <row r="105" spans="1:34" x14ac:dyDescent="0.25">
      <c r="A105" s="30">
        <v>11</v>
      </c>
      <c r="B105" s="31">
        <v>2.48529</v>
      </c>
      <c r="C105" s="31">
        <v>2.4852900000000009</v>
      </c>
      <c r="D105" s="31">
        <v>2.48529</v>
      </c>
      <c r="E105" s="31">
        <v>2.48529</v>
      </c>
      <c r="F105" s="31">
        <v>2.48529</v>
      </c>
      <c r="G105" s="31">
        <v>2.4852899999999991</v>
      </c>
      <c r="H105" s="31">
        <v>2.48529</v>
      </c>
      <c r="I105" s="31">
        <v>2.48529</v>
      </c>
      <c r="J105" s="31">
        <v>2.2889149999999998</v>
      </c>
      <c r="K105" s="31">
        <v>2.092540000000001</v>
      </c>
      <c r="L105" s="31">
        <v>1.896165000000001</v>
      </c>
      <c r="M105" s="31">
        <v>1.699790000000001</v>
      </c>
      <c r="N105" s="31">
        <v>1.5902650000000009</v>
      </c>
      <c r="O105" s="31">
        <v>1.4807399999999999</v>
      </c>
      <c r="P105" s="31">
        <v>1.3889450000000001</v>
      </c>
      <c r="Q105" s="31">
        <v>1.29715</v>
      </c>
      <c r="R105" s="31">
        <v>1.2457100000000001</v>
      </c>
      <c r="S105" s="31">
        <v>1.1942699999999999</v>
      </c>
      <c r="T105" s="31">
        <v>1.1365350000000001</v>
      </c>
      <c r="U105" s="31">
        <v>1.0788</v>
      </c>
      <c r="V105" s="31">
        <v>1.0326900000000001</v>
      </c>
      <c r="W105" s="31">
        <v>0.98658000000000001</v>
      </c>
      <c r="X105" s="31">
        <v>0.94214500000000012</v>
      </c>
      <c r="Y105" s="31">
        <v>0.89771000000000012</v>
      </c>
      <c r="Z105" s="31">
        <v>0.8724400000000001</v>
      </c>
      <c r="AA105" s="31">
        <v>0.84717000000000009</v>
      </c>
      <c r="AB105" s="31">
        <v>0.82117000000000007</v>
      </c>
      <c r="AC105" s="31">
        <v>0.82117000000000029</v>
      </c>
      <c r="AD105" s="31">
        <v>0.82117000000000007</v>
      </c>
      <c r="AE105" s="31">
        <v>0.8211700000000004</v>
      </c>
      <c r="AF105" s="31">
        <v>0.82117000000000018</v>
      </c>
      <c r="AG105" s="31">
        <v>0.82117000000000018</v>
      </c>
      <c r="AH105" s="32">
        <v>0.82117000000000007</v>
      </c>
    </row>
    <row r="106" spans="1:34" x14ac:dyDescent="0.25">
      <c r="A106" s="30">
        <v>18</v>
      </c>
      <c r="B106" s="31">
        <v>2.5020200000000021</v>
      </c>
      <c r="C106" s="31">
        <v>2.5020200000000008</v>
      </c>
      <c r="D106" s="31">
        <v>2.5020199999999999</v>
      </c>
      <c r="E106" s="31">
        <v>2.5020199999999999</v>
      </c>
      <c r="F106" s="31">
        <v>2.5020199999999999</v>
      </c>
      <c r="G106" s="31">
        <v>2.502019999999999</v>
      </c>
      <c r="H106" s="31">
        <v>2.5020200000000008</v>
      </c>
      <c r="I106" s="31">
        <v>2.502019999999999</v>
      </c>
      <c r="J106" s="31">
        <v>2.303020000000001</v>
      </c>
      <c r="K106" s="31">
        <v>2.1040200000000011</v>
      </c>
      <c r="L106" s="31">
        <v>1.905020000000001</v>
      </c>
      <c r="M106" s="31">
        <v>1.706020000000001</v>
      </c>
      <c r="N106" s="31">
        <v>1.5980700000000001</v>
      </c>
      <c r="O106" s="31">
        <v>1.4901199999999999</v>
      </c>
      <c r="P106" s="31">
        <v>1.3959100000000011</v>
      </c>
      <c r="Q106" s="31">
        <v>1.3017000000000001</v>
      </c>
      <c r="R106" s="31">
        <v>1.2499800000000001</v>
      </c>
      <c r="S106" s="31">
        <v>1.1982600000000001</v>
      </c>
      <c r="T106" s="31">
        <v>1.14133</v>
      </c>
      <c r="U106" s="31">
        <v>1.0844</v>
      </c>
      <c r="V106" s="31">
        <v>1.0382199999999999</v>
      </c>
      <c r="W106" s="31">
        <v>0.99204000000000025</v>
      </c>
      <c r="X106" s="31">
        <v>0.94701000000000002</v>
      </c>
      <c r="Y106" s="31">
        <v>0.90198000000000023</v>
      </c>
      <c r="Z106" s="31">
        <v>0.87622000000000011</v>
      </c>
      <c r="AA106" s="31">
        <v>0.85046000000000033</v>
      </c>
      <c r="AB106" s="31">
        <v>0.82446000000000008</v>
      </c>
      <c r="AC106" s="31">
        <v>0.82445999999999997</v>
      </c>
      <c r="AD106" s="31">
        <v>0.82445999999999986</v>
      </c>
      <c r="AE106" s="31">
        <v>0.82446000000000053</v>
      </c>
      <c r="AF106" s="31">
        <v>0.82446000000000019</v>
      </c>
      <c r="AG106" s="31">
        <v>0.82445999999999986</v>
      </c>
      <c r="AH106" s="32">
        <v>0.82445999999999997</v>
      </c>
    </row>
    <row r="107" spans="1:34" x14ac:dyDescent="0.25">
      <c r="A107" s="30">
        <v>24</v>
      </c>
      <c r="B107" s="31">
        <v>2.516360000000001</v>
      </c>
      <c r="C107" s="31">
        <v>2.516360000000001</v>
      </c>
      <c r="D107" s="31">
        <v>2.5163600000000002</v>
      </c>
      <c r="E107" s="31">
        <v>2.516360000000001</v>
      </c>
      <c r="F107" s="31">
        <v>2.5163600000000002</v>
      </c>
      <c r="G107" s="31">
        <v>2.5163600000000002</v>
      </c>
      <c r="H107" s="31">
        <v>2.5163600000000002</v>
      </c>
      <c r="I107" s="31">
        <v>2.5163600000000002</v>
      </c>
      <c r="J107" s="31">
        <v>2.3151099999999998</v>
      </c>
      <c r="K107" s="31">
        <v>2.1138600000000012</v>
      </c>
      <c r="L107" s="31">
        <v>1.9126099999999999</v>
      </c>
      <c r="M107" s="31">
        <v>1.71136</v>
      </c>
      <c r="N107" s="31">
        <v>1.60476</v>
      </c>
      <c r="O107" s="31">
        <v>1.4981599999999999</v>
      </c>
      <c r="P107" s="31">
        <v>1.40188</v>
      </c>
      <c r="Q107" s="31">
        <v>1.3056000000000001</v>
      </c>
      <c r="R107" s="31">
        <v>1.2536400000000001</v>
      </c>
      <c r="S107" s="31">
        <v>1.2016800000000001</v>
      </c>
      <c r="T107" s="31">
        <v>1.14544</v>
      </c>
      <c r="U107" s="31">
        <v>1.0891999999999999</v>
      </c>
      <c r="V107" s="31">
        <v>1.0429600000000001</v>
      </c>
      <c r="W107" s="31">
        <v>0.99671999999999972</v>
      </c>
      <c r="X107" s="31">
        <v>0.95117999999999991</v>
      </c>
      <c r="Y107" s="31">
        <v>0.90564000000000011</v>
      </c>
      <c r="Z107" s="31">
        <v>0.87945999999999991</v>
      </c>
      <c r="AA107" s="31">
        <v>0.85328000000000004</v>
      </c>
      <c r="AB107" s="31">
        <v>0.8272799999999999</v>
      </c>
      <c r="AC107" s="31">
        <v>0.82728000000000002</v>
      </c>
      <c r="AD107" s="31">
        <v>0.82727999999999979</v>
      </c>
      <c r="AE107" s="31">
        <v>0.82728000000000024</v>
      </c>
      <c r="AF107" s="31">
        <v>0.82728000000000002</v>
      </c>
      <c r="AG107" s="31">
        <v>0.82727999999999979</v>
      </c>
      <c r="AH107" s="32">
        <v>0.82728000000000002</v>
      </c>
    </row>
    <row r="108" spans="1:34" x14ac:dyDescent="0.25">
      <c r="A108" s="30">
        <v>30</v>
      </c>
      <c r="B108" s="31">
        <v>2.5306999999999999</v>
      </c>
      <c r="C108" s="31">
        <v>2.5306999999999999</v>
      </c>
      <c r="D108" s="31">
        <v>2.5306999999999999</v>
      </c>
      <c r="E108" s="31">
        <v>2.5306999999999999</v>
      </c>
      <c r="F108" s="31">
        <v>2.5306999999999991</v>
      </c>
      <c r="G108" s="31">
        <v>2.5306999999999991</v>
      </c>
      <c r="H108" s="31">
        <v>2.5306999999999999</v>
      </c>
      <c r="I108" s="31">
        <v>2.5306999999999999</v>
      </c>
      <c r="J108" s="31">
        <v>2.3271999999999999</v>
      </c>
      <c r="K108" s="31">
        <v>2.1236999999999999</v>
      </c>
      <c r="L108" s="31">
        <v>1.9201999999999999</v>
      </c>
      <c r="M108" s="31">
        <v>1.7166999999999999</v>
      </c>
      <c r="N108" s="31">
        <v>1.61145</v>
      </c>
      <c r="O108" s="31">
        <v>1.5062</v>
      </c>
      <c r="P108" s="31">
        <v>1.40785</v>
      </c>
      <c r="Q108" s="31">
        <v>1.3095000000000001</v>
      </c>
      <c r="R108" s="31">
        <v>1.257299999999999</v>
      </c>
      <c r="S108" s="31">
        <v>1.2051000000000001</v>
      </c>
      <c r="T108" s="31">
        <v>1.1495500000000001</v>
      </c>
      <c r="U108" s="31">
        <v>1.0940000000000001</v>
      </c>
      <c r="V108" s="31">
        <v>1.0477000000000001</v>
      </c>
      <c r="W108" s="31">
        <v>1.0014000000000001</v>
      </c>
      <c r="X108" s="31">
        <v>0.95534999999999981</v>
      </c>
      <c r="Y108" s="31">
        <v>0.90929999999999989</v>
      </c>
      <c r="Z108" s="31">
        <v>0.88269999999999993</v>
      </c>
      <c r="AA108" s="31">
        <v>0.85609999999999986</v>
      </c>
      <c r="AB108" s="31">
        <v>0.83010000000000006</v>
      </c>
      <c r="AC108" s="31">
        <v>0.83009999999999995</v>
      </c>
      <c r="AD108" s="31">
        <v>0.83009999999999984</v>
      </c>
      <c r="AE108" s="31">
        <v>0.83009999999999995</v>
      </c>
      <c r="AF108" s="31">
        <v>0.83009999999999984</v>
      </c>
      <c r="AG108" s="31">
        <v>0.83009999999999995</v>
      </c>
      <c r="AH108" s="32">
        <v>0.83009999999999984</v>
      </c>
    </row>
    <row r="109" spans="1:34" x14ac:dyDescent="0.25">
      <c r="A109" s="30">
        <v>36</v>
      </c>
      <c r="B109" s="31">
        <v>2.5450400000000011</v>
      </c>
      <c r="C109" s="31">
        <v>2.5450400000000011</v>
      </c>
      <c r="D109" s="31">
        <v>2.5450400000000011</v>
      </c>
      <c r="E109" s="31">
        <v>2.5450400000000002</v>
      </c>
      <c r="F109" s="31">
        <v>2.5450400000000002</v>
      </c>
      <c r="G109" s="31">
        <v>2.5450400000000002</v>
      </c>
      <c r="H109" s="31">
        <v>2.5450400000000002</v>
      </c>
      <c r="I109" s="31">
        <v>2.5450399999999989</v>
      </c>
      <c r="J109" s="31">
        <v>2.3392900000000001</v>
      </c>
      <c r="K109" s="31">
        <v>2.13354</v>
      </c>
      <c r="L109" s="31">
        <v>1.9277899999999999</v>
      </c>
      <c r="M109" s="31">
        <v>1.72204</v>
      </c>
      <c r="N109" s="31">
        <v>1.6181399999999999</v>
      </c>
      <c r="O109" s="31">
        <v>1.5142399999999989</v>
      </c>
      <c r="P109" s="31">
        <v>1.4138200000000001</v>
      </c>
      <c r="Q109" s="31">
        <v>1.3133999999999999</v>
      </c>
      <c r="R109" s="31">
        <v>1.2609600000000001</v>
      </c>
      <c r="S109" s="31">
        <v>1.20852</v>
      </c>
      <c r="T109" s="31">
        <v>1.1536599999999999</v>
      </c>
      <c r="U109" s="31">
        <v>1.0988</v>
      </c>
      <c r="V109" s="31">
        <v>1.05244</v>
      </c>
      <c r="W109" s="31">
        <v>1.0060800000000001</v>
      </c>
      <c r="X109" s="31">
        <v>0.95951999999999993</v>
      </c>
      <c r="Y109" s="31">
        <v>0.91296000000000022</v>
      </c>
      <c r="Z109" s="31">
        <v>0.88594000000000017</v>
      </c>
      <c r="AA109" s="31">
        <v>0.85891999999999979</v>
      </c>
      <c r="AB109" s="31">
        <v>0.83292000000000022</v>
      </c>
      <c r="AC109" s="31">
        <v>0.83291999999999999</v>
      </c>
      <c r="AD109" s="31">
        <v>0.8329200000000001</v>
      </c>
      <c r="AE109" s="31">
        <v>0.8329200000000001</v>
      </c>
      <c r="AF109" s="31">
        <v>0.83292000000000022</v>
      </c>
      <c r="AG109" s="31">
        <v>0.83291999999999999</v>
      </c>
      <c r="AH109" s="32">
        <v>0.83291999999999999</v>
      </c>
    </row>
    <row r="110" spans="1:34" x14ac:dyDescent="0.25">
      <c r="A110" s="30">
        <v>43</v>
      </c>
      <c r="B110" s="31">
        <v>2.561770000000001</v>
      </c>
      <c r="C110" s="31">
        <v>2.561770000000001</v>
      </c>
      <c r="D110" s="31">
        <v>2.5617700000000019</v>
      </c>
      <c r="E110" s="31">
        <v>2.5617700000000001</v>
      </c>
      <c r="F110" s="31">
        <v>2.561770000000001</v>
      </c>
      <c r="G110" s="31">
        <v>2.561770000000001</v>
      </c>
      <c r="H110" s="31">
        <v>2.561770000000001</v>
      </c>
      <c r="I110" s="31">
        <v>2.561770000000001</v>
      </c>
      <c r="J110" s="31">
        <v>2.3533949999999999</v>
      </c>
      <c r="K110" s="31">
        <v>2.145020000000001</v>
      </c>
      <c r="L110" s="31">
        <v>1.9366449999999999</v>
      </c>
      <c r="M110" s="31">
        <v>1.72827</v>
      </c>
      <c r="N110" s="31">
        <v>1.6259450000000011</v>
      </c>
      <c r="O110" s="31">
        <v>1.52362</v>
      </c>
      <c r="P110" s="31">
        <v>1.4207850000000011</v>
      </c>
      <c r="Q110" s="31">
        <v>1.31795</v>
      </c>
      <c r="R110" s="31">
        <v>1.2652300000000001</v>
      </c>
      <c r="S110" s="31">
        <v>1.21251</v>
      </c>
      <c r="T110" s="31">
        <v>1.158455</v>
      </c>
      <c r="U110" s="31">
        <v>1.1044</v>
      </c>
      <c r="V110" s="31">
        <v>1.057970000000001</v>
      </c>
      <c r="W110" s="31">
        <v>1.0115400000000001</v>
      </c>
      <c r="X110" s="31">
        <v>0.96438500000000005</v>
      </c>
      <c r="Y110" s="31">
        <v>0.91723000000000021</v>
      </c>
      <c r="Z110" s="31">
        <v>0.88972000000000018</v>
      </c>
      <c r="AA110" s="31">
        <v>0.86221000000000003</v>
      </c>
      <c r="AB110" s="31">
        <v>0.83621000000000012</v>
      </c>
      <c r="AC110" s="31">
        <v>0.83621000000000012</v>
      </c>
      <c r="AD110" s="31">
        <v>0.83621000000000012</v>
      </c>
      <c r="AE110" s="31">
        <v>0.83621000000000023</v>
      </c>
      <c r="AF110" s="31">
        <v>0.83621000000000034</v>
      </c>
      <c r="AG110" s="31">
        <v>0.83621000000000001</v>
      </c>
      <c r="AH110" s="32">
        <v>0.83621000000000012</v>
      </c>
    </row>
    <row r="111" spans="1:34" x14ac:dyDescent="0.25">
      <c r="A111" s="30">
        <v>49</v>
      </c>
      <c r="B111" s="31">
        <v>2.576109999999999</v>
      </c>
      <c r="C111" s="31">
        <v>2.576109999999999</v>
      </c>
      <c r="D111" s="31">
        <v>2.5761099999999999</v>
      </c>
      <c r="E111" s="31">
        <v>2.576109999999999</v>
      </c>
      <c r="F111" s="31">
        <v>2.576109999999999</v>
      </c>
      <c r="G111" s="31">
        <v>2.576109999999999</v>
      </c>
      <c r="H111" s="31">
        <v>2.576109999999999</v>
      </c>
      <c r="I111" s="31">
        <v>2.576109999999999</v>
      </c>
      <c r="J111" s="31">
        <v>2.3654850000000001</v>
      </c>
      <c r="K111" s="31">
        <v>2.1548599999999989</v>
      </c>
      <c r="L111" s="31">
        <v>1.944234999999999</v>
      </c>
      <c r="M111" s="31">
        <v>1.733610000000001</v>
      </c>
      <c r="N111" s="31">
        <v>1.6326350000000001</v>
      </c>
      <c r="O111" s="31">
        <v>1.5316599999999989</v>
      </c>
      <c r="P111" s="31">
        <v>1.426755</v>
      </c>
      <c r="Q111" s="31">
        <v>1.32185</v>
      </c>
      <c r="R111" s="31">
        <v>1.2688900000000001</v>
      </c>
      <c r="S111" s="31">
        <v>1.21593</v>
      </c>
      <c r="T111" s="31">
        <v>1.1625650000000001</v>
      </c>
      <c r="U111" s="31">
        <v>1.1092</v>
      </c>
      <c r="V111" s="31">
        <v>1.06271</v>
      </c>
      <c r="W111" s="31">
        <v>1.0162199999999999</v>
      </c>
      <c r="X111" s="31">
        <v>0.96855499999999983</v>
      </c>
      <c r="Y111" s="31">
        <v>0.92088999999999965</v>
      </c>
      <c r="Z111" s="31">
        <v>0.89295999999999986</v>
      </c>
      <c r="AA111" s="31">
        <v>0.86502999999999985</v>
      </c>
      <c r="AB111" s="31">
        <v>0.83902999999999994</v>
      </c>
      <c r="AC111" s="31">
        <v>0.83902999999999961</v>
      </c>
      <c r="AD111" s="31">
        <v>0.83902999999999972</v>
      </c>
      <c r="AE111" s="31">
        <v>0.83903000000000005</v>
      </c>
      <c r="AF111" s="31">
        <v>0.83902999999999983</v>
      </c>
      <c r="AG111" s="31">
        <v>0.83902999999999994</v>
      </c>
      <c r="AH111" s="32">
        <v>0.83902999999999983</v>
      </c>
    </row>
    <row r="112" spans="1:34" x14ac:dyDescent="0.25">
      <c r="A112" s="30">
        <v>55</v>
      </c>
      <c r="B112" s="31">
        <v>2.5904499999999988</v>
      </c>
      <c r="C112" s="31">
        <v>2.5904500000000001</v>
      </c>
      <c r="D112" s="31">
        <v>2.5904499999999988</v>
      </c>
      <c r="E112" s="31">
        <v>2.5904500000000001</v>
      </c>
      <c r="F112" s="31">
        <v>2.5904499999999979</v>
      </c>
      <c r="G112" s="31">
        <v>2.5904500000000001</v>
      </c>
      <c r="H112" s="31">
        <v>2.5904499999999988</v>
      </c>
      <c r="I112" s="31">
        <v>2.5904499999999988</v>
      </c>
      <c r="J112" s="31">
        <v>2.3775750000000002</v>
      </c>
      <c r="K112" s="31">
        <v>2.1646999999999998</v>
      </c>
      <c r="L112" s="31">
        <v>1.9518249999999999</v>
      </c>
      <c r="M112" s="31">
        <v>1.73895</v>
      </c>
      <c r="N112" s="31">
        <v>1.6393249999999999</v>
      </c>
      <c r="O112" s="31">
        <v>1.5397000000000001</v>
      </c>
      <c r="P112" s="31">
        <v>1.432725</v>
      </c>
      <c r="Q112" s="31">
        <v>1.32575</v>
      </c>
      <c r="R112" s="31">
        <v>1.2725500000000001</v>
      </c>
      <c r="S112" s="31">
        <v>1.2193499999999999</v>
      </c>
      <c r="T112" s="31">
        <v>1.1666749999999999</v>
      </c>
      <c r="U112" s="31">
        <v>1.1140000000000001</v>
      </c>
      <c r="V112" s="31">
        <v>1.06745</v>
      </c>
      <c r="W112" s="31">
        <v>1.0208999999999999</v>
      </c>
      <c r="X112" s="31">
        <v>0.97272499999999995</v>
      </c>
      <c r="Y112" s="31">
        <v>0.9245500000000002</v>
      </c>
      <c r="Z112" s="31">
        <v>0.8962</v>
      </c>
      <c r="AA112" s="31">
        <v>0.8678499999999999</v>
      </c>
      <c r="AB112" s="31">
        <v>0.84184999999999988</v>
      </c>
      <c r="AC112" s="31">
        <v>0.84184999999999977</v>
      </c>
      <c r="AD112" s="31">
        <v>0.84184999999999988</v>
      </c>
      <c r="AE112" s="31">
        <v>0.84185000000000032</v>
      </c>
      <c r="AF112" s="31">
        <v>0.84185000000000021</v>
      </c>
      <c r="AG112" s="31">
        <v>0.8418500000000001</v>
      </c>
      <c r="AH112" s="32">
        <v>0.84184999999999977</v>
      </c>
    </row>
    <row r="113" spans="1:34" x14ac:dyDescent="0.25">
      <c r="A113" s="30">
        <v>61</v>
      </c>
      <c r="B113" s="31">
        <v>2.6047900000000022</v>
      </c>
      <c r="C113" s="31">
        <v>2.6047900000000022</v>
      </c>
      <c r="D113" s="31">
        <v>2.6047900000000022</v>
      </c>
      <c r="E113" s="31">
        <v>2.6047899999999999</v>
      </c>
      <c r="F113" s="31">
        <v>2.6047900000000008</v>
      </c>
      <c r="G113" s="31">
        <v>2.6047899999999999</v>
      </c>
      <c r="H113" s="31">
        <v>2.6047900000000022</v>
      </c>
      <c r="I113" s="31">
        <v>2.6047899999999999</v>
      </c>
      <c r="J113" s="31">
        <v>2.3896650000000008</v>
      </c>
      <c r="K113" s="31">
        <v>2.1745400000000008</v>
      </c>
      <c r="L113" s="31">
        <v>1.9594149999999999</v>
      </c>
      <c r="M113" s="31">
        <v>1.744290000000001</v>
      </c>
      <c r="N113" s="31">
        <v>1.6460150000000009</v>
      </c>
      <c r="O113" s="31">
        <v>1.547740000000001</v>
      </c>
      <c r="P113" s="31">
        <v>1.4386950000000009</v>
      </c>
      <c r="Q113" s="31">
        <v>1.32965</v>
      </c>
      <c r="R113" s="31">
        <v>1.276210000000001</v>
      </c>
      <c r="S113" s="31">
        <v>1.222770000000001</v>
      </c>
      <c r="T113" s="31">
        <v>1.170785</v>
      </c>
      <c r="U113" s="31">
        <v>1.1188</v>
      </c>
      <c r="V113" s="31">
        <v>1.07219</v>
      </c>
      <c r="W113" s="31">
        <v>1.025580000000001</v>
      </c>
      <c r="X113" s="31">
        <v>0.97689500000000018</v>
      </c>
      <c r="Y113" s="31">
        <v>0.92821000000000042</v>
      </c>
      <c r="Z113" s="31">
        <v>0.89944000000000002</v>
      </c>
      <c r="AA113" s="31">
        <v>0.87067000000000028</v>
      </c>
      <c r="AB113" s="31">
        <v>0.84467000000000003</v>
      </c>
      <c r="AC113" s="31">
        <v>0.8446699999999997</v>
      </c>
      <c r="AD113" s="31">
        <v>0.84467000000000003</v>
      </c>
      <c r="AE113" s="31">
        <v>0.84467000000000036</v>
      </c>
      <c r="AF113" s="31">
        <v>0.84467000000000014</v>
      </c>
      <c r="AG113" s="31">
        <v>0.84467000000000025</v>
      </c>
      <c r="AH113" s="32">
        <v>0.84467000000000014</v>
      </c>
    </row>
    <row r="114" spans="1:34" x14ac:dyDescent="0.25">
      <c r="A114" s="30">
        <v>68</v>
      </c>
      <c r="B114" s="31">
        <v>2.6215200000000012</v>
      </c>
      <c r="C114" s="31">
        <v>2.6215200000000012</v>
      </c>
      <c r="D114" s="31">
        <v>2.6215199999999999</v>
      </c>
      <c r="E114" s="31">
        <v>2.6215200000000012</v>
      </c>
      <c r="F114" s="31">
        <v>2.6215199999999999</v>
      </c>
      <c r="G114" s="31">
        <v>2.621519999999999</v>
      </c>
      <c r="H114" s="31">
        <v>2.6215200000000012</v>
      </c>
      <c r="I114" s="31">
        <v>2.621519999999999</v>
      </c>
      <c r="J114" s="31">
        <v>2.4037700000000002</v>
      </c>
      <c r="K114" s="31">
        <v>2.1860200000000001</v>
      </c>
      <c r="L114" s="31">
        <v>1.96827</v>
      </c>
      <c r="M114" s="31">
        <v>1.750520000000001</v>
      </c>
      <c r="N114" s="31">
        <v>1.6538200000000001</v>
      </c>
      <c r="O114" s="31">
        <v>1.5571200000000009</v>
      </c>
      <c r="P114" s="31">
        <v>1.4456600000000011</v>
      </c>
      <c r="Q114" s="31">
        <v>1.3342000000000001</v>
      </c>
      <c r="R114" s="31">
        <v>1.2804800000000001</v>
      </c>
      <c r="S114" s="31">
        <v>1.2267600000000001</v>
      </c>
      <c r="T114" s="31">
        <v>1.1755800000000001</v>
      </c>
      <c r="U114" s="31">
        <v>1.1244000000000001</v>
      </c>
      <c r="V114" s="31">
        <v>1.07772</v>
      </c>
      <c r="W114" s="31">
        <v>1.03104</v>
      </c>
      <c r="X114" s="31">
        <v>0.98175999999999986</v>
      </c>
      <c r="Y114" s="31">
        <v>0.93248000000000009</v>
      </c>
      <c r="Z114" s="31">
        <v>0.90322000000000013</v>
      </c>
      <c r="AA114" s="31">
        <v>0.87396000000000007</v>
      </c>
      <c r="AB114" s="31">
        <v>0.84796000000000016</v>
      </c>
      <c r="AC114" s="31">
        <v>0.84796000000000005</v>
      </c>
      <c r="AD114" s="31">
        <v>0.84795999999999982</v>
      </c>
      <c r="AE114" s="31">
        <v>0.8479600000000006</v>
      </c>
      <c r="AF114" s="31">
        <v>0.84796000000000016</v>
      </c>
      <c r="AG114" s="31">
        <v>0.84796000000000005</v>
      </c>
      <c r="AH114" s="32">
        <v>0.84795999999999994</v>
      </c>
    </row>
    <row r="115" spans="1:34" x14ac:dyDescent="0.25">
      <c r="A115" s="30">
        <v>74</v>
      </c>
      <c r="B115" s="31">
        <v>2.635860000000001</v>
      </c>
      <c r="C115" s="31">
        <v>2.635860000000001</v>
      </c>
      <c r="D115" s="31">
        <v>2.6358599999999992</v>
      </c>
      <c r="E115" s="31">
        <v>2.6358600000000001</v>
      </c>
      <c r="F115" s="31">
        <v>2.6358599999999992</v>
      </c>
      <c r="G115" s="31">
        <v>2.6358599999999992</v>
      </c>
      <c r="H115" s="31">
        <v>2.6358600000000001</v>
      </c>
      <c r="I115" s="31">
        <v>2.6358599999999992</v>
      </c>
      <c r="J115" s="31">
        <v>2.4158600000000008</v>
      </c>
      <c r="K115" s="31">
        <v>2.195860000000001</v>
      </c>
      <c r="L115" s="31">
        <v>1.9758599999999999</v>
      </c>
      <c r="M115" s="31">
        <v>1.75586</v>
      </c>
      <c r="N115" s="31">
        <v>1.6605099999999999</v>
      </c>
      <c r="O115" s="31">
        <v>1.5651600000000001</v>
      </c>
      <c r="P115" s="31">
        <v>1.45163</v>
      </c>
      <c r="Q115" s="31">
        <v>1.338100000000001</v>
      </c>
      <c r="R115" s="31">
        <v>1.2841400000000001</v>
      </c>
      <c r="S115" s="31">
        <v>1.2301800000000001</v>
      </c>
      <c r="T115" s="31">
        <v>1.1796899999999999</v>
      </c>
      <c r="U115" s="31">
        <v>1.1292</v>
      </c>
      <c r="V115" s="31">
        <v>1.08246</v>
      </c>
      <c r="W115" s="31">
        <v>1.03572</v>
      </c>
      <c r="X115" s="31">
        <v>0.98592999999999997</v>
      </c>
      <c r="Y115" s="31">
        <v>0.93614000000000019</v>
      </c>
      <c r="Z115" s="31">
        <v>0.90646000000000027</v>
      </c>
      <c r="AA115" s="31">
        <v>0.87678000000000011</v>
      </c>
      <c r="AB115" s="31">
        <v>0.85077999999999965</v>
      </c>
      <c r="AC115" s="31">
        <v>0.85077999999999976</v>
      </c>
      <c r="AD115" s="31">
        <v>0.85077999999999998</v>
      </c>
      <c r="AE115" s="31">
        <v>0.85078000000000009</v>
      </c>
      <c r="AF115" s="31">
        <v>0.85077999999999987</v>
      </c>
      <c r="AG115" s="31">
        <v>0.85077999999999987</v>
      </c>
      <c r="AH115" s="32">
        <v>0.85077999999999987</v>
      </c>
    </row>
    <row r="116" spans="1:34" x14ac:dyDescent="0.25">
      <c r="A116" s="33">
        <v>80</v>
      </c>
      <c r="B116" s="34">
        <v>2.6501999999999999</v>
      </c>
      <c r="C116" s="34">
        <v>2.6501999999999999</v>
      </c>
      <c r="D116" s="34">
        <v>2.6501999999999999</v>
      </c>
      <c r="E116" s="34">
        <v>2.6501999999999999</v>
      </c>
      <c r="F116" s="34">
        <v>2.650199999999999</v>
      </c>
      <c r="G116" s="34">
        <v>2.650199999999999</v>
      </c>
      <c r="H116" s="34">
        <v>2.6501999999999999</v>
      </c>
      <c r="I116" s="34">
        <v>2.650199999999999</v>
      </c>
      <c r="J116" s="34">
        <v>2.4279500000000001</v>
      </c>
      <c r="K116" s="34">
        <v>2.2057000000000002</v>
      </c>
      <c r="L116" s="34">
        <v>1.9834499999999999</v>
      </c>
      <c r="M116" s="34">
        <v>1.7612000000000001</v>
      </c>
      <c r="N116" s="34">
        <v>1.6672</v>
      </c>
      <c r="O116" s="34">
        <v>1.5731999999999999</v>
      </c>
      <c r="P116" s="34">
        <v>1.4576</v>
      </c>
      <c r="Q116" s="34">
        <v>1.3420000000000001</v>
      </c>
      <c r="R116" s="34">
        <v>1.2878000000000001</v>
      </c>
      <c r="S116" s="34">
        <v>1.2336</v>
      </c>
      <c r="T116" s="34">
        <v>1.1838</v>
      </c>
      <c r="U116" s="34">
        <v>1.1339999999999999</v>
      </c>
      <c r="V116" s="34">
        <v>1.0871999999999999</v>
      </c>
      <c r="W116" s="34">
        <v>1.0404</v>
      </c>
      <c r="X116" s="34">
        <v>0.99009999999999987</v>
      </c>
      <c r="Y116" s="34">
        <v>0.93979999999999997</v>
      </c>
      <c r="Z116" s="34">
        <v>0.90969999999999995</v>
      </c>
      <c r="AA116" s="34">
        <v>0.87959999999999972</v>
      </c>
      <c r="AB116" s="34">
        <v>0.85360000000000003</v>
      </c>
      <c r="AC116" s="34">
        <v>0.85359999999999991</v>
      </c>
      <c r="AD116" s="34">
        <v>0.85359999999999969</v>
      </c>
      <c r="AE116" s="34">
        <v>0.85360000000000003</v>
      </c>
      <c r="AF116" s="34">
        <v>0.85359999999999991</v>
      </c>
      <c r="AG116" s="34">
        <v>0.85360000000000003</v>
      </c>
      <c r="AH116" s="35">
        <v>0.85359999999999991</v>
      </c>
    </row>
    <row r="119" spans="1:34" ht="28.9" customHeight="1" x14ac:dyDescent="0.5">
      <c r="A119" s="1" t="s">
        <v>32</v>
      </c>
    </row>
    <row r="120" spans="1:34" ht="32.1" customHeight="1" x14ac:dyDescent="0.25"/>
    <row r="121" spans="1:34" x14ac:dyDescent="0.25">
      <c r="A121" s="2"/>
      <c r="B121" s="3"/>
      <c r="C121" s="3"/>
      <c r="D121" s="4"/>
    </row>
    <row r="122" spans="1:34" x14ac:dyDescent="0.25">
      <c r="A122" s="5" t="s">
        <v>33</v>
      </c>
      <c r="B122" s="6">
        <v>1.375</v>
      </c>
      <c r="C122" s="6" t="s">
        <v>13</v>
      </c>
      <c r="D122" s="7"/>
    </row>
    <row r="123" spans="1:34" x14ac:dyDescent="0.25">
      <c r="A123" s="8"/>
      <c r="B123" s="9"/>
      <c r="C123" s="9"/>
      <c r="D123" s="10"/>
    </row>
    <row r="126" spans="1:34" ht="48" customHeight="1" x14ac:dyDescent="0.25">
      <c r="A126" s="21" t="s">
        <v>34</v>
      </c>
      <c r="B126" s="23" t="s">
        <v>35</v>
      </c>
    </row>
    <row r="127" spans="1:34" x14ac:dyDescent="0.25">
      <c r="A127" s="5">
        <v>0</v>
      </c>
      <c r="B127" s="32">
        <v>9.000000000000008E-2</v>
      </c>
    </row>
    <row r="128" spans="1:34" x14ac:dyDescent="0.25">
      <c r="A128" s="5">
        <v>0.125</v>
      </c>
      <c r="B128" s="32">
        <v>8.107738095238104E-2</v>
      </c>
    </row>
    <row r="129" spans="1:2" x14ac:dyDescent="0.25">
      <c r="A129" s="5">
        <v>0.25</v>
      </c>
      <c r="B129" s="32">
        <v>6.2541666666666718E-2</v>
      </c>
    </row>
    <row r="130" spans="1:2" x14ac:dyDescent="0.25">
      <c r="A130" s="5">
        <v>0.375</v>
      </c>
      <c r="B130" s="32">
        <v>1.6182777777777879E-2</v>
      </c>
    </row>
    <row r="131" spans="1:2" x14ac:dyDescent="0.25">
      <c r="A131" s="5">
        <v>0.5</v>
      </c>
      <c r="B131" s="32">
        <v>4.0166666666666462E-2</v>
      </c>
    </row>
    <row r="132" spans="1:2" x14ac:dyDescent="0.25">
      <c r="A132" s="5">
        <v>0.625</v>
      </c>
      <c r="B132" s="32">
        <v>4.5153333333333379E-2</v>
      </c>
    </row>
    <row r="133" spans="1:2" x14ac:dyDescent="0.25">
      <c r="A133" s="5">
        <v>0.75</v>
      </c>
      <c r="B133" s="32">
        <v>3.2625000000000133E-2</v>
      </c>
    </row>
    <row r="134" spans="1:2" x14ac:dyDescent="0.25">
      <c r="A134" s="5">
        <v>0.875</v>
      </c>
      <c r="B134" s="32">
        <v>2.7428333333333391E-2</v>
      </c>
    </row>
    <row r="135" spans="1:2" x14ac:dyDescent="0.25">
      <c r="A135" s="5">
        <v>1</v>
      </c>
      <c r="B135" s="32">
        <v>1.6777777777777999E-2</v>
      </c>
    </row>
    <row r="136" spans="1:2" x14ac:dyDescent="0.25">
      <c r="A136" s="5">
        <v>1.125</v>
      </c>
      <c r="B136" s="32">
        <v>2.8556111111110831E-2</v>
      </c>
    </row>
    <row r="137" spans="1:2" x14ac:dyDescent="0.25">
      <c r="A137" s="5">
        <v>1.25</v>
      </c>
      <c r="B137" s="32">
        <v>1.3499761315801001E-2</v>
      </c>
    </row>
    <row r="138" spans="1:2" x14ac:dyDescent="0.25">
      <c r="A138" s="5">
        <v>1.375</v>
      </c>
      <c r="B138" s="32">
        <v>0</v>
      </c>
    </row>
    <row r="139" spans="1:2" x14ac:dyDescent="0.25">
      <c r="A139" s="5">
        <v>1.5</v>
      </c>
      <c r="B139" s="32">
        <v>0</v>
      </c>
    </row>
    <row r="140" spans="1:2" x14ac:dyDescent="0.25">
      <c r="A140" s="5">
        <v>1.625</v>
      </c>
      <c r="B140" s="32">
        <v>0</v>
      </c>
    </row>
    <row r="141" spans="1:2" x14ac:dyDescent="0.25">
      <c r="A141" s="5">
        <v>1.75</v>
      </c>
      <c r="B141" s="32">
        <v>0</v>
      </c>
    </row>
    <row r="142" spans="1:2" x14ac:dyDescent="0.25">
      <c r="A142" s="5">
        <v>1.875</v>
      </c>
      <c r="B142" s="32">
        <v>0</v>
      </c>
    </row>
    <row r="143" spans="1:2" x14ac:dyDescent="0.25">
      <c r="A143" s="5">
        <v>2</v>
      </c>
      <c r="B143" s="32">
        <v>0</v>
      </c>
    </row>
    <row r="144" spans="1:2" x14ac:dyDescent="0.25">
      <c r="A144" s="5">
        <v>2.125</v>
      </c>
      <c r="B144" s="32">
        <v>0</v>
      </c>
    </row>
    <row r="145" spans="1:2" x14ac:dyDescent="0.25">
      <c r="A145" s="5">
        <v>2.25</v>
      </c>
      <c r="B145" s="32">
        <v>0</v>
      </c>
    </row>
    <row r="146" spans="1:2" x14ac:dyDescent="0.25">
      <c r="A146" s="5">
        <v>2.375</v>
      </c>
      <c r="B146" s="32">
        <v>0</v>
      </c>
    </row>
    <row r="147" spans="1:2" x14ac:dyDescent="0.25">
      <c r="A147" s="5">
        <v>2.5</v>
      </c>
      <c r="B147" s="32">
        <v>0</v>
      </c>
    </row>
    <row r="148" spans="1:2" x14ac:dyDescent="0.25">
      <c r="A148" s="5">
        <v>2.625</v>
      </c>
      <c r="B148" s="32">
        <v>0</v>
      </c>
    </row>
    <row r="149" spans="1:2" x14ac:dyDescent="0.25">
      <c r="A149" s="5">
        <v>2.75</v>
      </c>
      <c r="B149" s="32">
        <v>0</v>
      </c>
    </row>
    <row r="150" spans="1:2" x14ac:dyDescent="0.25">
      <c r="A150" s="5">
        <v>2.875</v>
      </c>
      <c r="B150" s="32">
        <v>0</v>
      </c>
    </row>
    <row r="151" spans="1:2" x14ac:dyDescent="0.25">
      <c r="A151" s="5">
        <v>3</v>
      </c>
      <c r="B151" s="32">
        <v>0</v>
      </c>
    </row>
    <row r="152" spans="1:2" x14ac:dyDescent="0.25">
      <c r="A152" s="5">
        <v>3.125</v>
      </c>
      <c r="B152" s="32">
        <v>0</v>
      </c>
    </row>
    <row r="153" spans="1:2" x14ac:dyDescent="0.25">
      <c r="A153" s="5">
        <v>3.25</v>
      </c>
      <c r="B153" s="32">
        <v>0</v>
      </c>
    </row>
    <row r="154" spans="1:2" x14ac:dyDescent="0.25">
      <c r="A154" s="5">
        <v>3.375</v>
      </c>
      <c r="B154" s="32">
        <v>0</v>
      </c>
    </row>
    <row r="155" spans="1:2" x14ac:dyDescent="0.25">
      <c r="A155" s="5">
        <v>3.5</v>
      </c>
      <c r="B155" s="32">
        <v>0</v>
      </c>
    </row>
    <row r="156" spans="1:2" x14ac:dyDescent="0.25">
      <c r="A156" s="5">
        <v>3.625</v>
      </c>
      <c r="B156" s="32">
        <v>0</v>
      </c>
    </row>
    <row r="157" spans="1:2" x14ac:dyDescent="0.25">
      <c r="A157" s="5">
        <v>3.75</v>
      </c>
      <c r="B157" s="32">
        <v>0</v>
      </c>
    </row>
    <row r="158" spans="1:2" x14ac:dyDescent="0.25">
      <c r="A158" s="5">
        <v>3.875</v>
      </c>
      <c r="B158" s="32">
        <v>0</v>
      </c>
    </row>
    <row r="159" spans="1:2" x14ac:dyDescent="0.25">
      <c r="A159" s="8">
        <v>4</v>
      </c>
      <c r="B159" s="35">
        <v>0</v>
      </c>
    </row>
  </sheetData>
  <sheetProtection algorithmName="SHA-512" hashValue="2QF2LzA6LulElNVCpwihF+l9Ji5F6RoKY7VN3uo29Y+M4KBlJG4zK+QRwrl2o/u+2By4GwR8Zrvb3701Kz6+Fw==" saltValue="yczGc8S9bT2j1uuGLShIdg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5:R159"/>
  <sheetViews>
    <sheetView workbookViewId="0">
      <selection activeCell="B37" sqref="B3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0.13000000000000009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41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128</v>
      </c>
      <c r="B42" s="6">
        <v>43.636485152977663</v>
      </c>
      <c r="C42" s="6">
        <f>43.6364851529776 * $B$37 / 100</f>
        <v>43.636485152977599</v>
      </c>
      <c r="D42" s="6">
        <v>5.4981001593081782</v>
      </c>
      <c r="E42" s="7">
        <f>5.49810015930817 * $B$37 / 100</f>
        <v>5.4981001593081702</v>
      </c>
    </row>
    <row r="43" spans="1:5" x14ac:dyDescent="0.25">
      <c r="A43" s="5">
        <v>144</v>
      </c>
      <c r="B43" s="6">
        <v>46.283481838224908</v>
      </c>
      <c r="C43" s="6">
        <f>46.2834818382249 * $B$37 / 100</f>
        <v>46.283481838224901</v>
      </c>
      <c r="D43" s="6">
        <v>5.8316158594344758</v>
      </c>
      <c r="E43" s="7">
        <f>5.83161585943447 * $B$37 / 100</f>
        <v>5.8316158594344696</v>
      </c>
    </row>
    <row r="44" spans="1:5" x14ac:dyDescent="0.25">
      <c r="A44" s="5">
        <v>160</v>
      </c>
      <c r="B44" s="6">
        <v>48.787073550609179</v>
      </c>
      <c r="C44" s="6">
        <f>48.7870735506091 * $B$37 / 100</f>
        <v>48.787073550609101</v>
      </c>
      <c r="D44" s="6">
        <v>6.147062851657755</v>
      </c>
      <c r="E44" s="7">
        <f>6.14706285165775 * $B$37 / 100</f>
        <v>6.1470628516577497</v>
      </c>
    </row>
    <row r="45" spans="1:5" x14ac:dyDescent="0.25">
      <c r="A45" s="5">
        <v>176</v>
      </c>
      <c r="B45" s="6">
        <v>51.168314416206883</v>
      </c>
      <c r="C45" s="6">
        <f>51.1683144162068 * $B$37 / 100</f>
        <v>51.168314416206798</v>
      </c>
      <c r="D45" s="6">
        <v>6.4470939090766972</v>
      </c>
      <c r="E45" s="7">
        <f>6.44709390907669 * $B$37 / 100</f>
        <v>6.4470939090766901</v>
      </c>
    </row>
    <row r="46" spans="1:5" x14ac:dyDescent="0.25">
      <c r="A46" s="5">
        <v>192</v>
      </c>
      <c r="B46" s="6">
        <v>53.443561396664613</v>
      </c>
      <c r="C46" s="6">
        <f>53.4435613966646 * $B$37 / 100</f>
        <v>53.443561396664599</v>
      </c>
      <c r="D46" s="6">
        <v>6.7337699725099709</v>
      </c>
      <c r="E46" s="7">
        <f>6.73376997250997 * $B$37 / 100</f>
        <v>6.73376997250997</v>
      </c>
    </row>
    <row r="47" spans="1:5" x14ac:dyDescent="0.25">
      <c r="A47" s="5">
        <v>208</v>
      </c>
      <c r="B47" s="6">
        <v>55.625822324908732</v>
      </c>
      <c r="C47" s="6">
        <f>55.6258223249087 * $B$37 / 100</f>
        <v>55.625822324908697</v>
      </c>
      <c r="D47" s="6">
        <v>7.0087299999999999</v>
      </c>
      <c r="E47" s="7">
        <f>7.00873 * $B$37 / 100</f>
        <v>7.0087300000000008</v>
      </c>
    </row>
    <row r="48" spans="1:5" x14ac:dyDescent="0.25">
      <c r="A48" s="5">
        <v>224</v>
      </c>
      <c r="B48" s="6">
        <v>57.742473412229486</v>
      </c>
      <c r="C48" s="6">
        <f>57.7424734122294 * $B$37 / 100</f>
        <v>57.742473412229401</v>
      </c>
      <c r="D48" s="6">
        <v>7.2754233333333334</v>
      </c>
      <c r="E48" s="7">
        <f>7.27542333333333 * $B$37 / 100</f>
        <v>7.2754233333333298</v>
      </c>
    </row>
    <row r="49" spans="1:5" x14ac:dyDescent="0.25">
      <c r="A49" s="5">
        <v>240</v>
      </c>
      <c r="B49" s="6">
        <v>59.859124499550262</v>
      </c>
      <c r="C49" s="6">
        <f>59.8591244995502 * $B$37 / 100</f>
        <v>59.859124499550198</v>
      </c>
      <c r="D49" s="6">
        <v>7.5421166666666677</v>
      </c>
      <c r="E49" s="7">
        <f>7.54211666666666 * $B$37 / 100</f>
        <v>7.5421166666666606</v>
      </c>
    </row>
    <row r="50" spans="1:5" x14ac:dyDescent="0.25">
      <c r="A50" s="5">
        <v>256</v>
      </c>
      <c r="B50" s="6">
        <v>61.975775586871023</v>
      </c>
      <c r="C50" s="6">
        <f>61.975775586871 * $B$37 / 100</f>
        <v>61.975775586871002</v>
      </c>
      <c r="D50" s="6">
        <v>7.8088100000000003</v>
      </c>
      <c r="E50" s="7">
        <f>7.80881 * $B$37 / 100</f>
        <v>7.8088099999999994</v>
      </c>
    </row>
    <row r="51" spans="1:5" x14ac:dyDescent="0.25">
      <c r="A51" s="5">
        <v>272</v>
      </c>
      <c r="B51" s="6">
        <v>64.092426674191785</v>
      </c>
      <c r="C51" s="6">
        <f>64.0924266741917 * $B$37 / 100</f>
        <v>64.092426674191699</v>
      </c>
      <c r="D51" s="6">
        <v>8.0755033333333319</v>
      </c>
      <c r="E51" s="7">
        <f>8.07550333333333 * $B$37 / 100</f>
        <v>8.0755033333333301</v>
      </c>
    </row>
    <row r="52" spans="1:5" x14ac:dyDescent="0.25">
      <c r="A52" s="5">
        <v>288</v>
      </c>
      <c r="B52" s="6">
        <v>66.209077761512546</v>
      </c>
      <c r="C52" s="6">
        <f>66.2090777615125 * $B$37 / 100</f>
        <v>66.209077761512503</v>
      </c>
      <c r="D52" s="6">
        <v>8.3421966666666663</v>
      </c>
      <c r="E52" s="7">
        <f>8.34219666666666 * $B$37 / 100</f>
        <v>8.3421966666666592</v>
      </c>
    </row>
    <row r="53" spans="1:5" x14ac:dyDescent="0.25">
      <c r="A53" s="5">
        <v>304</v>
      </c>
      <c r="B53" s="6">
        <v>68.274743822642378</v>
      </c>
      <c r="C53" s="6">
        <f>68.2747438226423 * $B$37 / 100</f>
        <v>68.274743822642293</v>
      </c>
      <c r="D53" s="6">
        <v>8.6024659999999997</v>
      </c>
      <c r="E53" s="7">
        <f>8.602466 * $B$37 / 100</f>
        <v>8.6024659999999997</v>
      </c>
    </row>
    <row r="54" spans="1:5" x14ac:dyDescent="0.25">
      <c r="A54" s="5">
        <v>320</v>
      </c>
      <c r="B54" s="6">
        <v>70.187454805199394</v>
      </c>
      <c r="C54" s="6">
        <f>70.1874548051994 * $B$37 / 100</f>
        <v>70.187454805199394</v>
      </c>
      <c r="D54" s="6">
        <v>8.8434633333333341</v>
      </c>
      <c r="E54" s="7">
        <f>8.84346333333333 * $B$37 / 100</f>
        <v>8.8434633333333306</v>
      </c>
    </row>
    <row r="55" spans="1:5" x14ac:dyDescent="0.25">
      <c r="A55" s="5">
        <v>336</v>
      </c>
      <c r="B55" s="6">
        <v>72.100165787756396</v>
      </c>
      <c r="C55" s="6">
        <f>72.1001657877564 * $B$37 / 100</f>
        <v>72.100165787756396</v>
      </c>
      <c r="D55" s="6">
        <v>9.0844606666666667</v>
      </c>
      <c r="E55" s="7">
        <f>9.08446066666666 * $B$37 / 100</f>
        <v>9.0844606666666596</v>
      </c>
    </row>
    <row r="56" spans="1:5" x14ac:dyDescent="0.25">
      <c r="A56" s="5">
        <v>352</v>
      </c>
      <c r="B56" s="6">
        <v>74.012876770313412</v>
      </c>
      <c r="C56" s="6">
        <f>74.0128767703134 * $B$37 / 100</f>
        <v>74.012876770313397</v>
      </c>
      <c r="D56" s="6">
        <v>9.3254580000000011</v>
      </c>
      <c r="E56" s="7">
        <f>9.325458 * $B$37 / 100</f>
        <v>9.3254579999999994</v>
      </c>
    </row>
    <row r="57" spans="1:5" x14ac:dyDescent="0.25">
      <c r="A57" s="5">
        <v>368</v>
      </c>
      <c r="B57" s="6">
        <v>75.925587752870427</v>
      </c>
      <c r="C57" s="6">
        <f>75.9255877528704 * $B$37 / 100</f>
        <v>75.925587752870399</v>
      </c>
      <c r="D57" s="6">
        <v>9.5664553333333338</v>
      </c>
      <c r="E57" s="7">
        <f>9.56645533333333 * $B$37 / 100</f>
        <v>9.5664553333333302</v>
      </c>
    </row>
    <row r="58" spans="1:5" x14ac:dyDescent="0.25">
      <c r="A58" s="5">
        <v>384</v>
      </c>
      <c r="B58" s="6">
        <v>77.838298735427443</v>
      </c>
      <c r="C58" s="6">
        <f>77.8382987354274 * $B$37 / 100</f>
        <v>77.838298735427401</v>
      </c>
      <c r="D58" s="6">
        <v>9.8074526666666682</v>
      </c>
      <c r="E58" s="7">
        <f>9.80745266666666 * $B$37 / 100</f>
        <v>9.8074526666666593</v>
      </c>
    </row>
    <row r="59" spans="1:5" x14ac:dyDescent="0.25">
      <c r="A59" s="5">
        <v>400</v>
      </c>
      <c r="B59" s="6">
        <v>79.751009717984459</v>
      </c>
      <c r="C59" s="6">
        <f>79.7510097179844 * $B$37 / 100</f>
        <v>79.751009717984402</v>
      </c>
      <c r="D59" s="6">
        <v>10.048450000000001</v>
      </c>
      <c r="E59" s="7">
        <f>10.04845 * $B$37 / 100</f>
        <v>10.048450000000001</v>
      </c>
    </row>
    <row r="60" spans="1:5" x14ac:dyDescent="0.25">
      <c r="A60" s="5">
        <v>416</v>
      </c>
      <c r="B60" s="6">
        <v>81.286740506887256</v>
      </c>
      <c r="C60" s="6">
        <f>81.2867405068872 * $B$37 / 100</f>
        <v>81.286740506887199</v>
      </c>
      <c r="D60" s="6">
        <v>10.241948666666669</v>
      </c>
      <c r="E60" s="7">
        <f>10.2419486666666 * $B$37 / 100</f>
        <v>10.241948666666598</v>
      </c>
    </row>
    <row r="61" spans="1:5" x14ac:dyDescent="0.25">
      <c r="A61" s="5">
        <v>432</v>
      </c>
      <c r="B61" s="6">
        <v>82.822471295790052</v>
      </c>
      <c r="C61" s="6">
        <f>82.82247129579 * $B$37 / 100</f>
        <v>82.822471295789995</v>
      </c>
      <c r="D61" s="6">
        <v>10.435447333333331</v>
      </c>
      <c r="E61" s="7">
        <f>10.4354473333333 * $B$37 / 100</f>
        <v>10.4354473333333</v>
      </c>
    </row>
    <row r="62" spans="1:5" x14ac:dyDescent="0.25">
      <c r="A62" s="5">
        <v>448</v>
      </c>
      <c r="B62" s="6">
        <v>84.358202084692863</v>
      </c>
      <c r="C62" s="6">
        <f>84.3582020846928 * $B$37 / 100</f>
        <v>84.358202084692806</v>
      </c>
      <c r="D62" s="6">
        <v>10.628945999999999</v>
      </c>
      <c r="E62" s="7">
        <f>10.628946 * $B$37 / 100</f>
        <v>10.628945999999999</v>
      </c>
    </row>
    <row r="63" spans="1:5" x14ac:dyDescent="0.25">
      <c r="A63" s="5">
        <v>464</v>
      </c>
      <c r="B63" s="6">
        <v>85.893932873595659</v>
      </c>
      <c r="C63" s="6">
        <f>85.8939328735956 * $B$37 / 100</f>
        <v>85.893932873595602</v>
      </c>
      <c r="D63" s="6">
        <v>10.822444666666669</v>
      </c>
      <c r="E63" s="7">
        <f>10.8224446666666 * $B$37 / 100</f>
        <v>10.8224446666666</v>
      </c>
    </row>
    <row r="64" spans="1:5" x14ac:dyDescent="0.25">
      <c r="A64" s="5">
        <v>480</v>
      </c>
      <c r="B64" s="6">
        <v>87.429663662498456</v>
      </c>
      <c r="C64" s="6">
        <f>87.4296636624984 * $B$37 / 100</f>
        <v>87.429663662498399</v>
      </c>
      <c r="D64" s="6">
        <v>11.015943333333331</v>
      </c>
      <c r="E64" s="7">
        <f>11.0159433333333 * $B$37 / 100</f>
        <v>11.015943333333301</v>
      </c>
    </row>
    <row r="65" spans="1:18" x14ac:dyDescent="0.25">
      <c r="A65" s="5">
        <v>496</v>
      </c>
      <c r="B65" s="6">
        <v>88.965394451401252</v>
      </c>
      <c r="C65" s="6">
        <f>88.9653944514012 * $B$37 / 100</f>
        <v>88.965394451401195</v>
      </c>
      <c r="D65" s="6">
        <v>11.209441999999999</v>
      </c>
      <c r="E65" s="7">
        <f>11.209442 * $B$37 / 100</f>
        <v>11.209441999999999</v>
      </c>
    </row>
    <row r="66" spans="1:18" x14ac:dyDescent="0.25">
      <c r="A66" s="5">
        <v>512</v>
      </c>
      <c r="B66" s="6">
        <v>90.389885183160189</v>
      </c>
      <c r="C66" s="6">
        <f>90.3898851831601 * $B$37 / 100</f>
        <v>90.389885183160089</v>
      </c>
      <c r="D66" s="6">
        <v>11.38892466666667</v>
      </c>
      <c r="E66" s="7">
        <f>11.3889246666666 * $B$37 / 100</f>
        <v>11.3889246666666</v>
      </c>
    </row>
    <row r="67" spans="1:18" x14ac:dyDescent="0.25">
      <c r="A67" s="5">
        <v>528</v>
      </c>
      <c r="B67" s="6">
        <v>91.777295895871177</v>
      </c>
      <c r="C67" s="6">
        <f>91.7772958958711 * $B$37 / 100</f>
        <v>91.777295895871106</v>
      </c>
      <c r="D67" s="6">
        <v>11.56373533333333</v>
      </c>
      <c r="E67" s="7">
        <f>11.5637353333333 * $B$37 / 100</f>
        <v>11.5637353333333</v>
      </c>
    </row>
    <row r="68" spans="1:18" x14ac:dyDescent="0.25">
      <c r="A68" s="5">
        <v>544</v>
      </c>
      <c r="B68" s="6">
        <v>93.164706608582165</v>
      </c>
      <c r="C68" s="6">
        <f>93.1647066085821 * $B$37 / 100</f>
        <v>93.164706608582094</v>
      </c>
      <c r="D68" s="6">
        <v>11.738545999999999</v>
      </c>
      <c r="E68" s="7">
        <f>11.738546 * $B$37 / 100</f>
        <v>11.738545999999999</v>
      </c>
    </row>
    <row r="69" spans="1:18" x14ac:dyDescent="0.25">
      <c r="A69" s="5">
        <v>560</v>
      </c>
      <c r="B69" s="6">
        <v>94.552117321293153</v>
      </c>
      <c r="C69" s="6">
        <f>94.5521173212931 * $B$37 / 100</f>
        <v>94.552117321293096</v>
      </c>
      <c r="D69" s="6">
        <v>11.913356666666671</v>
      </c>
      <c r="E69" s="7">
        <f>11.9133566666666 * $B$37 / 100</f>
        <v>11.9133566666666</v>
      </c>
    </row>
    <row r="70" spans="1:18" x14ac:dyDescent="0.25">
      <c r="A70" s="5">
        <v>576</v>
      </c>
      <c r="B70" s="6">
        <v>95.939528034004127</v>
      </c>
      <c r="C70" s="6">
        <f>95.9395280340041 * $B$37 / 100</f>
        <v>95.939528034004113</v>
      </c>
      <c r="D70" s="6">
        <v>12.088167333333329</v>
      </c>
      <c r="E70" s="7">
        <f>12.0881673333333 * $B$37 / 100</f>
        <v>12.088167333333301</v>
      </c>
    </row>
    <row r="71" spans="1:18" x14ac:dyDescent="0.25">
      <c r="A71" s="5">
        <v>592</v>
      </c>
      <c r="B71" s="6">
        <v>97.326938746715115</v>
      </c>
      <c r="C71" s="6">
        <f>97.3269387467151 * $B$37 / 100</f>
        <v>97.326938746715101</v>
      </c>
      <c r="D71" s="6">
        <v>12.262978</v>
      </c>
      <c r="E71" s="7">
        <f>12.262978 * $B$37 / 100</f>
        <v>12.262978</v>
      </c>
    </row>
    <row r="72" spans="1:18" x14ac:dyDescent="0.25">
      <c r="A72" s="5">
        <v>608</v>
      </c>
      <c r="B72" s="6">
        <v>98.633399066285762</v>
      </c>
      <c r="C72" s="6">
        <f>98.6333990662857 * $B$37 / 100</f>
        <v>98.633399066285705</v>
      </c>
      <c r="D72" s="6">
        <v>12.42758909702075</v>
      </c>
      <c r="E72" s="7">
        <f>12.4275890970207 * $B$37 / 100</f>
        <v>12.4275890970207</v>
      </c>
    </row>
    <row r="73" spans="1:18" x14ac:dyDescent="0.25">
      <c r="A73" s="5">
        <v>624</v>
      </c>
      <c r="B73" s="6">
        <v>99.92277926945151</v>
      </c>
      <c r="C73" s="6">
        <f>99.9227792694515 * $B$37 / 100</f>
        <v>99.922779269451496</v>
      </c>
      <c r="D73" s="6">
        <v>12.590048137330291</v>
      </c>
      <c r="E73" s="7">
        <f>12.5900481373302 * $B$37 / 100</f>
        <v>12.5900481373302</v>
      </c>
    </row>
    <row r="74" spans="1:18" x14ac:dyDescent="0.25">
      <c r="A74" s="8">
        <v>640</v>
      </c>
      <c r="B74" s="9">
        <v>101.19573223458529</v>
      </c>
      <c r="C74" s="9">
        <f>101.195732234585 * $B$37 / 100</f>
        <v>101.19573223458499</v>
      </c>
      <c r="D74" s="9">
        <v>12.75043738215278</v>
      </c>
      <c r="E74" s="10">
        <f>12.7504373821527 * $B$37 / 100</f>
        <v>12.7504373821527</v>
      </c>
    </row>
    <row r="76" spans="1:18" ht="28.9" customHeight="1" x14ac:dyDescent="0.5">
      <c r="A76" s="1" t="s">
        <v>25</v>
      </c>
      <c r="B76" s="1"/>
    </row>
    <row r="77" spans="1:18" x14ac:dyDescent="0.25">
      <c r="A77" s="21" t="s">
        <v>26</v>
      </c>
      <c r="B77" s="22">
        <v>0</v>
      </c>
      <c r="C77" s="22">
        <v>6.25</v>
      </c>
      <c r="D77" s="22">
        <v>12.5</v>
      </c>
      <c r="E77" s="22">
        <v>18.75</v>
      </c>
      <c r="F77" s="22">
        <v>25</v>
      </c>
      <c r="G77" s="22">
        <v>31.25</v>
      </c>
      <c r="H77" s="22">
        <v>37.5</v>
      </c>
      <c r="I77" s="22">
        <v>43.75</v>
      </c>
      <c r="J77" s="22">
        <v>50</v>
      </c>
      <c r="K77" s="22">
        <v>56.25</v>
      </c>
      <c r="L77" s="22">
        <v>62.5</v>
      </c>
      <c r="M77" s="22">
        <v>68.75</v>
      </c>
      <c r="N77" s="22">
        <v>75</v>
      </c>
      <c r="O77" s="22">
        <v>81.25</v>
      </c>
      <c r="P77" s="22">
        <v>87.5</v>
      </c>
      <c r="Q77" s="22">
        <v>93.75</v>
      </c>
      <c r="R77" s="23">
        <v>100</v>
      </c>
    </row>
    <row r="78" spans="1:18" x14ac:dyDescent="0.25">
      <c r="A78" s="5" t="s">
        <v>27</v>
      </c>
      <c r="B78" s="6">
        <f>0 * $B$39 + (1 - 0) * $B$38</f>
        <v>14.7</v>
      </c>
      <c r="C78" s="6">
        <f>0.0625 * $B$39 + (1 - 0.0625) * $B$38</f>
        <v>14.344250000000001</v>
      </c>
      <c r="D78" s="6">
        <f>0.125 * $B$39 + (1 - 0.125) * $B$38</f>
        <v>13.988499999999998</v>
      </c>
      <c r="E78" s="6">
        <f>0.1875 * $B$39 + (1 - 0.1875) * $B$38</f>
        <v>13.63275</v>
      </c>
      <c r="F78" s="6">
        <f>0.25 * $B$39 + (1 - 0.25) * $B$38</f>
        <v>13.276999999999997</v>
      </c>
      <c r="G78" s="6">
        <f>0.3125 * $B$39 + (1 - 0.3125) * $B$38</f>
        <v>12.921249999999999</v>
      </c>
      <c r="H78" s="6">
        <f>0.375 * $B$39 + (1 - 0.375) * $B$38</f>
        <v>12.5655</v>
      </c>
      <c r="I78" s="6">
        <f>0.4375 * $B$39 + (1 - 0.4375) * $B$38</f>
        <v>12.20975</v>
      </c>
      <c r="J78" s="6">
        <f>0.5 * $B$39 + (1 - 0.5) * $B$38</f>
        <v>11.853999999999999</v>
      </c>
      <c r="K78" s="6">
        <f>0.5625 * $B$39 + (1 - 0.5625) * $B$38</f>
        <v>11.498249999999999</v>
      </c>
      <c r="L78" s="6">
        <f>0.625 * $B$39 + (1 - 0.625) * $B$38</f>
        <v>11.142499999999998</v>
      </c>
      <c r="M78" s="6">
        <f>0.6875 * $B$39 + (1 - 0.6875) * $B$38</f>
        <v>10.78675</v>
      </c>
      <c r="N78" s="6">
        <f>0.75 * $B$39 + (1 - 0.75) * $B$38</f>
        <v>10.430999999999999</v>
      </c>
      <c r="O78" s="6">
        <f>0.8125 * $B$39 + (1 - 0.8125) * $B$38</f>
        <v>10.075249999999999</v>
      </c>
      <c r="P78" s="6">
        <f>0.875 * $B$39 + (1 - 0.875) * $B$38</f>
        <v>9.7195</v>
      </c>
      <c r="Q78" s="6">
        <f>0.9375 * $B$39 + (1 - 0.9375) * $B$38</f>
        <v>9.3637499999999978</v>
      </c>
      <c r="R78" s="7">
        <f>1 * $B$39 + (1 - 1) * $B$38</f>
        <v>9.0079999999999991</v>
      </c>
    </row>
    <row r="79" spans="1:18" x14ac:dyDescent="0.25">
      <c r="A79" s="8" t="s">
        <v>28</v>
      </c>
      <c r="B79" s="9">
        <f>(0 * $B$39 + (1 - 0) * $B$38) * $B$37 / 100</f>
        <v>14.7</v>
      </c>
      <c r="C79" s="9">
        <f>(0.0625 * $B$39 + (1 - 0.0625) * $B$38) * $B$37 / 100</f>
        <v>14.344249999999999</v>
      </c>
      <c r="D79" s="9">
        <f>(0.125 * $B$39 + (1 - 0.125) * $B$38) * $B$37 / 100</f>
        <v>13.988499999999998</v>
      </c>
      <c r="E79" s="9">
        <f>(0.1875 * $B$39 + (1 - 0.1875) * $B$38) * $B$37 / 100</f>
        <v>13.632749999999998</v>
      </c>
      <c r="F79" s="9">
        <f>(0.25 * $B$39 + (1 - 0.25) * $B$38) * $B$37 / 100</f>
        <v>13.276999999999997</v>
      </c>
      <c r="G79" s="9">
        <f>(0.3125 * $B$39 + (1 - 0.3125) * $B$38) * $B$37 / 100</f>
        <v>12.921249999999997</v>
      </c>
      <c r="H79" s="9">
        <f>(0.375 * $B$39 + (1 - 0.375) * $B$38) * $B$37 / 100</f>
        <v>12.5655</v>
      </c>
      <c r="I79" s="9">
        <f>(0.4375 * $B$39 + (1 - 0.4375) * $B$38) * $B$37 / 100</f>
        <v>12.20975</v>
      </c>
      <c r="J79" s="9">
        <f>(0.5 * $B$39 + (1 - 0.5) * $B$38) * $B$37 / 100</f>
        <v>11.853999999999999</v>
      </c>
      <c r="K79" s="9">
        <f>(0.5625 * $B$39 + (1 - 0.5625) * $B$38) * $B$37 / 100</f>
        <v>11.498249999999999</v>
      </c>
      <c r="L79" s="9">
        <f>(0.625 * $B$39 + (1 - 0.625) * $B$38) * $B$37 / 100</f>
        <v>11.142499999999998</v>
      </c>
      <c r="M79" s="9">
        <f>(0.6875 * $B$39 + (1 - 0.6875) * $B$38) * $B$37 / 100</f>
        <v>10.78675</v>
      </c>
      <c r="N79" s="9">
        <f>(0.75 * $B$39 + (1 - 0.75) * $B$38) * $B$37 / 100</f>
        <v>10.430999999999999</v>
      </c>
      <c r="O79" s="9">
        <f>(0.8125 * $B$39 + (1 - 0.8125) * $B$38) * $B$37 / 100</f>
        <v>10.075249999999999</v>
      </c>
      <c r="P79" s="9">
        <f>(0.875 * $B$39 + (1 - 0.875) * $B$38) * $B$37 / 100</f>
        <v>9.7195</v>
      </c>
      <c r="Q79" s="9">
        <f>(0.9375 * $B$39 + (1 - 0.9375) * $B$38) * $B$37 / 100</f>
        <v>9.3637499999999978</v>
      </c>
      <c r="R79" s="10">
        <f>(1 * $B$39 + (1 - 1) * $B$38) * $B$37 / 100</f>
        <v>9.0079999999999991</v>
      </c>
    </row>
    <row r="81" spans="1:18" ht="28.9" customHeight="1" x14ac:dyDescent="0.5">
      <c r="A81" s="1" t="s">
        <v>29</v>
      </c>
      <c r="B81" s="1"/>
    </row>
    <row r="82" spans="1:18" x14ac:dyDescent="0.25">
      <c r="A82" s="24" t="s">
        <v>30</v>
      </c>
      <c r="B82" s="25" t="s">
        <v>31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6"/>
    </row>
    <row r="83" spans="1:18" x14ac:dyDescent="0.25">
      <c r="A83" s="27" t="s">
        <v>41</v>
      </c>
      <c r="B83" s="28">
        <v>4</v>
      </c>
      <c r="C83" s="28">
        <v>5</v>
      </c>
      <c r="D83" s="28">
        <v>6</v>
      </c>
      <c r="E83" s="28">
        <v>7</v>
      </c>
      <c r="F83" s="28">
        <v>8</v>
      </c>
      <c r="G83" s="28">
        <v>9</v>
      </c>
      <c r="H83" s="28">
        <v>10</v>
      </c>
      <c r="I83" s="28">
        <v>11</v>
      </c>
      <c r="J83" s="28">
        <v>12</v>
      </c>
      <c r="K83" s="28">
        <v>13</v>
      </c>
      <c r="L83" s="28">
        <v>14</v>
      </c>
      <c r="M83" s="28">
        <v>15</v>
      </c>
      <c r="N83" s="28">
        <v>16</v>
      </c>
      <c r="O83" s="28">
        <v>17</v>
      </c>
      <c r="P83" s="28">
        <v>18</v>
      </c>
      <c r="Q83" s="28">
        <v>19</v>
      </c>
      <c r="R83" s="29">
        <v>20</v>
      </c>
    </row>
    <row r="84" spans="1:18" x14ac:dyDescent="0.25">
      <c r="A84" s="30">
        <v>128</v>
      </c>
      <c r="B84" s="31">
        <v>2.043000000000001</v>
      </c>
      <c r="C84" s="31">
        <v>2.043000000000001</v>
      </c>
      <c r="D84" s="31">
        <v>2.043000000000001</v>
      </c>
      <c r="E84" s="31">
        <v>2.0430000000000001</v>
      </c>
      <c r="F84" s="31">
        <v>2.043000000000001</v>
      </c>
      <c r="G84" s="31">
        <v>1.7565</v>
      </c>
      <c r="H84" s="31">
        <v>1.47</v>
      </c>
      <c r="I84" s="31">
        <v>1.3440000000000001</v>
      </c>
      <c r="J84" s="31">
        <v>1.1870000000000009</v>
      </c>
      <c r="K84" s="31">
        <v>1.069</v>
      </c>
      <c r="L84" s="31">
        <v>0.96099999999999997</v>
      </c>
      <c r="M84" s="31">
        <v>0.90400000000000058</v>
      </c>
      <c r="N84" s="31">
        <v>0.8330000000000003</v>
      </c>
      <c r="O84" s="31">
        <v>0.78000000000000025</v>
      </c>
      <c r="P84" s="31">
        <v>0.76000000000000045</v>
      </c>
      <c r="Q84" s="31">
        <v>0.76</v>
      </c>
      <c r="R84" s="32">
        <v>0.76000000000000023</v>
      </c>
    </row>
    <row r="85" spans="1:18" x14ac:dyDescent="0.25">
      <c r="A85" s="30">
        <v>144</v>
      </c>
      <c r="B85" s="31">
        <v>2.043000000000001</v>
      </c>
      <c r="C85" s="31">
        <v>2.043000000000001</v>
      </c>
      <c r="D85" s="31">
        <v>2.043000000000001</v>
      </c>
      <c r="E85" s="31">
        <v>2.0430000000000001</v>
      </c>
      <c r="F85" s="31">
        <v>2.0430000000000001</v>
      </c>
      <c r="G85" s="31">
        <v>1.7565</v>
      </c>
      <c r="H85" s="31">
        <v>1.4700000000000011</v>
      </c>
      <c r="I85" s="31">
        <v>1.3440000000000001</v>
      </c>
      <c r="J85" s="31">
        <v>1.1870000000000009</v>
      </c>
      <c r="K85" s="31">
        <v>1.069</v>
      </c>
      <c r="L85" s="31">
        <v>0.96100000000000008</v>
      </c>
      <c r="M85" s="31">
        <v>0.90400000000000058</v>
      </c>
      <c r="N85" s="31">
        <v>0.83300000000000007</v>
      </c>
      <c r="O85" s="31">
        <v>0.78000000000000014</v>
      </c>
      <c r="P85" s="31">
        <v>0.76000000000000023</v>
      </c>
      <c r="Q85" s="31">
        <v>0.75999999999999979</v>
      </c>
      <c r="R85" s="32">
        <v>0.76</v>
      </c>
    </row>
    <row r="86" spans="1:18" x14ac:dyDescent="0.25">
      <c r="A86" s="30">
        <v>160</v>
      </c>
      <c r="B86" s="31">
        <v>2.0430000000000001</v>
      </c>
      <c r="C86" s="31">
        <v>2.043000000000001</v>
      </c>
      <c r="D86" s="31">
        <v>2.043000000000001</v>
      </c>
      <c r="E86" s="31">
        <v>2.0430000000000001</v>
      </c>
      <c r="F86" s="31">
        <v>2.0430000000000001</v>
      </c>
      <c r="G86" s="31">
        <v>1.7565</v>
      </c>
      <c r="H86" s="31">
        <v>1.47</v>
      </c>
      <c r="I86" s="31">
        <v>1.3440000000000001</v>
      </c>
      <c r="J86" s="31">
        <v>1.1870000000000001</v>
      </c>
      <c r="K86" s="31">
        <v>1.069</v>
      </c>
      <c r="L86" s="31">
        <v>0.96099999999999985</v>
      </c>
      <c r="M86" s="31">
        <v>0.90400000000000047</v>
      </c>
      <c r="N86" s="31">
        <v>0.83300000000000007</v>
      </c>
      <c r="O86" s="31">
        <v>0.78</v>
      </c>
      <c r="P86" s="31">
        <v>0.76000000000000034</v>
      </c>
      <c r="Q86" s="31">
        <v>0.76000000000000012</v>
      </c>
      <c r="R86" s="32">
        <v>0.76</v>
      </c>
    </row>
    <row r="87" spans="1:18" x14ac:dyDescent="0.25">
      <c r="A87" s="30">
        <v>176</v>
      </c>
      <c r="B87" s="31">
        <v>2.043000000000001</v>
      </c>
      <c r="C87" s="31">
        <v>2.043000000000001</v>
      </c>
      <c r="D87" s="31">
        <v>2.0430000000000001</v>
      </c>
      <c r="E87" s="31">
        <v>2.0430000000000001</v>
      </c>
      <c r="F87" s="31">
        <v>2.0430000000000001</v>
      </c>
      <c r="G87" s="31">
        <v>1.7565</v>
      </c>
      <c r="H87" s="31">
        <v>1.47</v>
      </c>
      <c r="I87" s="31">
        <v>1.344000000000001</v>
      </c>
      <c r="J87" s="31">
        <v>1.1870000000000001</v>
      </c>
      <c r="K87" s="31">
        <v>1.069</v>
      </c>
      <c r="L87" s="31">
        <v>0.96099999999999997</v>
      </c>
      <c r="M87" s="31">
        <v>0.90400000000000047</v>
      </c>
      <c r="N87" s="31">
        <v>0.83300000000000007</v>
      </c>
      <c r="O87" s="31">
        <v>0.78</v>
      </c>
      <c r="P87" s="31">
        <v>0.76000000000000045</v>
      </c>
      <c r="Q87" s="31">
        <v>0.7599999999999999</v>
      </c>
      <c r="R87" s="32">
        <v>0.76</v>
      </c>
    </row>
    <row r="88" spans="1:18" x14ac:dyDescent="0.25">
      <c r="A88" s="30">
        <v>192</v>
      </c>
      <c r="B88" s="31">
        <v>2.043000000000001</v>
      </c>
      <c r="C88" s="31">
        <v>2.0430000000000001</v>
      </c>
      <c r="D88" s="31">
        <v>2.043000000000001</v>
      </c>
      <c r="E88" s="31">
        <v>2.0430000000000001</v>
      </c>
      <c r="F88" s="31">
        <v>2.0430000000000001</v>
      </c>
      <c r="G88" s="31">
        <v>1.7564999999999991</v>
      </c>
      <c r="H88" s="31">
        <v>1.47</v>
      </c>
      <c r="I88" s="31">
        <v>1.3440000000000001</v>
      </c>
      <c r="J88" s="31">
        <v>1.1870000000000001</v>
      </c>
      <c r="K88" s="31">
        <v>1.069</v>
      </c>
      <c r="L88" s="31">
        <v>0.96099999999999974</v>
      </c>
      <c r="M88" s="31">
        <v>0.90400000000000036</v>
      </c>
      <c r="N88" s="31">
        <v>0.83300000000000018</v>
      </c>
      <c r="O88" s="31">
        <v>0.78</v>
      </c>
      <c r="P88" s="31">
        <v>0.76</v>
      </c>
      <c r="Q88" s="31">
        <v>0.75999999999999968</v>
      </c>
      <c r="R88" s="32">
        <v>0.75999999999999979</v>
      </c>
    </row>
    <row r="89" spans="1:18" x14ac:dyDescent="0.25">
      <c r="A89" s="30">
        <v>208</v>
      </c>
      <c r="B89" s="31">
        <v>2.0611600000000001</v>
      </c>
      <c r="C89" s="31">
        <v>2.0611600000000001</v>
      </c>
      <c r="D89" s="31">
        <v>2.0611599999999992</v>
      </c>
      <c r="E89" s="31">
        <v>2.0611600000000001</v>
      </c>
      <c r="F89" s="31">
        <v>2.0611600000000001</v>
      </c>
      <c r="G89" s="31">
        <v>1.76858</v>
      </c>
      <c r="H89" s="31">
        <v>1.476</v>
      </c>
      <c r="I89" s="31">
        <v>1.3480799999999999</v>
      </c>
      <c r="J89" s="31">
        <v>1.19076</v>
      </c>
      <c r="K89" s="31">
        <v>1.073639999999999</v>
      </c>
      <c r="L89" s="31">
        <v>0.96411999999999964</v>
      </c>
      <c r="M89" s="31">
        <v>0.90576000000000001</v>
      </c>
      <c r="N89" s="31">
        <v>0.83451999999999982</v>
      </c>
      <c r="O89" s="31">
        <v>0.78160000000000018</v>
      </c>
      <c r="P89" s="31">
        <v>0.76127999999999973</v>
      </c>
      <c r="Q89" s="31">
        <v>0.76127999999999973</v>
      </c>
      <c r="R89" s="32">
        <v>0.76127999999999996</v>
      </c>
    </row>
    <row r="90" spans="1:18" x14ac:dyDescent="0.25">
      <c r="A90" s="30">
        <v>224</v>
      </c>
      <c r="B90" s="31">
        <v>2.09748</v>
      </c>
      <c r="C90" s="31">
        <v>2.09748</v>
      </c>
      <c r="D90" s="31">
        <v>2.09748</v>
      </c>
      <c r="E90" s="31">
        <v>2.0974800000000009</v>
      </c>
      <c r="F90" s="31">
        <v>2.09748</v>
      </c>
      <c r="G90" s="31">
        <v>1.79274</v>
      </c>
      <c r="H90" s="31">
        <v>1.488</v>
      </c>
      <c r="I90" s="31">
        <v>1.3562399999999999</v>
      </c>
      <c r="J90" s="31">
        <v>1.19828</v>
      </c>
      <c r="K90" s="31">
        <v>1.0829200000000001</v>
      </c>
      <c r="L90" s="31">
        <v>0.97036000000000033</v>
      </c>
      <c r="M90" s="31">
        <v>0.90928000000000031</v>
      </c>
      <c r="N90" s="31">
        <v>0.83755999999999997</v>
      </c>
      <c r="O90" s="31">
        <v>0.78480000000000028</v>
      </c>
      <c r="P90" s="31">
        <v>0.76384000000000007</v>
      </c>
      <c r="Q90" s="31">
        <v>0.76383999999999996</v>
      </c>
      <c r="R90" s="32">
        <v>0.7638400000000003</v>
      </c>
    </row>
    <row r="91" spans="1:18" x14ac:dyDescent="0.25">
      <c r="A91" s="30">
        <v>240</v>
      </c>
      <c r="B91" s="31">
        <v>2.1337999999999999</v>
      </c>
      <c r="C91" s="31">
        <v>2.1337999999999999</v>
      </c>
      <c r="D91" s="31">
        <v>2.1337999999999999</v>
      </c>
      <c r="E91" s="31">
        <v>2.1337999999999999</v>
      </c>
      <c r="F91" s="31">
        <v>2.1337999999999999</v>
      </c>
      <c r="G91" s="31">
        <v>1.8169</v>
      </c>
      <c r="H91" s="31">
        <v>1.5</v>
      </c>
      <c r="I91" s="31">
        <v>1.3644000000000001</v>
      </c>
      <c r="J91" s="31">
        <v>1.2058</v>
      </c>
      <c r="K91" s="31">
        <v>1.0922000000000001</v>
      </c>
      <c r="L91" s="31">
        <v>0.97660000000000013</v>
      </c>
      <c r="M91" s="31">
        <v>0.91280000000000017</v>
      </c>
      <c r="N91" s="31">
        <v>0.84060000000000001</v>
      </c>
      <c r="O91" s="31">
        <v>0.78800000000000003</v>
      </c>
      <c r="P91" s="31">
        <v>0.76640000000000008</v>
      </c>
      <c r="Q91" s="31">
        <v>0.76639999999999986</v>
      </c>
      <c r="R91" s="32">
        <v>0.76639999999999997</v>
      </c>
    </row>
    <row r="92" spans="1:18" x14ac:dyDescent="0.25">
      <c r="A92" s="30">
        <v>256</v>
      </c>
      <c r="B92" s="31">
        <v>2.1701200000000012</v>
      </c>
      <c r="C92" s="31">
        <v>2.1701200000000012</v>
      </c>
      <c r="D92" s="31">
        <v>2.1701199999999989</v>
      </c>
      <c r="E92" s="31">
        <v>2.1701200000000012</v>
      </c>
      <c r="F92" s="31">
        <v>2.1701199999999998</v>
      </c>
      <c r="G92" s="31">
        <v>1.8410599999999999</v>
      </c>
      <c r="H92" s="31">
        <v>1.5120000000000009</v>
      </c>
      <c r="I92" s="31">
        <v>1.37256</v>
      </c>
      <c r="J92" s="31">
        <v>1.21332</v>
      </c>
      <c r="K92" s="31">
        <v>1.1014800000000009</v>
      </c>
      <c r="L92" s="31">
        <v>0.98284000000000005</v>
      </c>
      <c r="M92" s="31">
        <v>0.91632000000000058</v>
      </c>
      <c r="N92" s="31">
        <v>0.84363999999999995</v>
      </c>
      <c r="O92" s="31">
        <v>0.79120000000000024</v>
      </c>
      <c r="P92" s="31">
        <v>0.7689600000000002</v>
      </c>
      <c r="Q92" s="31">
        <v>0.76895999999999998</v>
      </c>
      <c r="R92" s="32">
        <v>0.76896000000000009</v>
      </c>
    </row>
    <row r="93" spans="1:18" x14ac:dyDescent="0.25">
      <c r="A93" s="30">
        <v>272</v>
      </c>
      <c r="B93" s="31">
        <v>2.2064400000000011</v>
      </c>
      <c r="C93" s="31">
        <v>2.2064400000000011</v>
      </c>
      <c r="D93" s="31">
        <v>2.2064400000000002</v>
      </c>
      <c r="E93" s="31">
        <v>2.2064400000000002</v>
      </c>
      <c r="F93" s="31">
        <v>2.2064400000000002</v>
      </c>
      <c r="G93" s="31">
        <v>1.8652200000000001</v>
      </c>
      <c r="H93" s="31">
        <v>1.524</v>
      </c>
      <c r="I93" s="31">
        <v>1.3807199999999999</v>
      </c>
      <c r="J93" s="31">
        <v>1.2208399999999999</v>
      </c>
      <c r="K93" s="31">
        <v>1.11076</v>
      </c>
      <c r="L93" s="31">
        <v>0.98908000000000007</v>
      </c>
      <c r="M93" s="31">
        <v>0.91984000000000021</v>
      </c>
      <c r="N93" s="31">
        <v>0.8466800000000001</v>
      </c>
      <c r="O93" s="31">
        <v>0.79440000000000022</v>
      </c>
      <c r="P93" s="31">
        <v>0.77152000000000021</v>
      </c>
      <c r="Q93" s="31">
        <v>0.77152000000000009</v>
      </c>
      <c r="R93" s="32">
        <v>0.77152000000000021</v>
      </c>
    </row>
    <row r="94" spans="1:18" x14ac:dyDescent="0.25">
      <c r="A94" s="30">
        <v>288</v>
      </c>
      <c r="B94" s="31">
        <v>2.2427600000000001</v>
      </c>
      <c r="C94" s="31">
        <v>2.2427600000000001</v>
      </c>
      <c r="D94" s="31">
        <v>2.242760000000001</v>
      </c>
      <c r="E94" s="31">
        <v>2.242760000000001</v>
      </c>
      <c r="F94" s="31">
        <v>2.2427600000000001</v>
      </c>
      <c r="G94" s="31">
        <v>1.8893800000000001</v>
      </c>
      <c r="H94" s="31">
        <v>1.536</v>
      </c>
      <c r="I94" s="31">
        <v>1.3888799999999999</v>
      </c>
      <c r="J94" s="31">
        <v>1.2283599999999999</v>
      </c>
      <c r="K94" s="31">
        <v>1.1200399999999999</v>
      </c>
      <c r="L94" s="31">
        <v>0.99531999999999998</v>
      </c>
      <c r="M94" s="31">
        <v>0.92336000000000018</v>
      </c>
      <c r="N94" s="31">
        <v>0.84972000000000003</v>
      </c>
      <c r="O94" s="31">
        <v>0.79760000000000031</v>
      </c>
      <c r="P94" s="31">
        <v>0.7740800000000001</v>
      </c>
      <c r="Q94" s="31">
        <v>0.77407999999999999</v>
      </c>
      <c r="R94" s="32">
        <v>0.7740800000000001</v>
      </c>
    </row>
    <row r="95" spans="1:18" x14ac:dyDescent="0.25">
      <c r="A95" s="30">
        <v>304</v>
      </c>
      <c r="B95" s="31">
        <v>2.2775600000000011</v>
      </c>
      <c r="C95" s="31">
        <v>2.2775599999999998</v>
      </c>
      <c r="D95" s="31">
        <v>2.2775599999999998</v>
      </c>
      <c r="E95" s="31">
        <v>2.2775600000000011</v>
      </c>
      <c r="F95" s="31">
        <v>2.2775600000000011</v>
      </c>
      <c r="G95" s="31">
        <v>1.91418</v>
      </c>
      <c r="H95" s="31">
        <v>1.5508</v>
      </c>
      <c r="I95" s="31">
        <v>1.39784</v>
      </c>
      <c r="J95" s="31">
        <v>1.23624</v>
      </c>
      <c r="K95" s="31">
        <v>1.12944</v>
      </c>
      <c r="L95" s="31">
        <v>1.0027999999999999</v>
      </c>
      <c r="M95" s="31">
        <v>0.92808000000000024</v>
      </c>
      <c r="N95" s="31">
        <v>0.85356000000000021</v>
      </c>
      <c r="O95" s="31">
        <v>0.80168000000000028</v>
      </c>
      <c r="P95" s="31">
        <v>0.7776000000000004</v>
      </c>
      <c r="Q95" s="31">
        <v>0.77760000000000018</v>
      </c>
      <c r="R95" s="32">
        <v>0.77760000000000007</v>
      </c>
    </row>
    <row r="96" spans="1:18" x14ac:dyDescent="0.25">
      <c r="A96" s="30">
        <v>320</v>
      </c>
      <c r="B96" s="31">
        <v>2.3078000000000012</v>
      </c>
      <c r="C96" s="31">
        <v>2.3077999999999999</v>
      </c>
      <c r="D96" s="31">
        <v>2.3078000000000012</v>
      </c>
      <c r="E96" s="31">
        <v>2.3077999999999999</v>
      </c>
      <c r="F96" s="31">
        <v>2.3078000000000012</v>
      </c>
      <c r="G96" s="31">
        <v>1.9409000000000001</v>
      </c>
      <c r="H96" s="31">
        <v>1.574000000000001</v>
      </c>
      <c r="I96" s="31">
        <v>1.4092</v>
      </c>
      <c r="J96" s="31">
        <v>1.245200000000001</v>
      </c>
      <c r="K96" s="31">
        <v>1.1392</v>
      </c>
      <c r="L96" s="31">
        <v>1.014</v>
      </c>
      <c r="M96" s="31">
        <v>0.93640000000000012</v>
      </c>
      <c r="N96" s="31">
        <v>0.85980000000000012</v>
      </c>
      <c r="O96" s="31">
        <v>0.80840000000000023</v>
      </c>
      <c r="P96" s="31">
        <v>0.78400000000000025</v>
      </c>
      <c r="Q96" s="31">
        <v>0.78399999999999992</v>
      </c>
      <c r="R96" s="32">
        <v>0.78400000000000014</v>
      </c>
    </row>
    <row r="97" spans="1:18" x14ac:dyDescent="0.25">
      <c r="A97" s="30">
        <v>336</v>
      </c>
      <c r="B97" s="31">
        <v>2.3380399999999999</v>
      </c>
      <c r="C97" s="31">
        <v>2.3380399999999999</v>
      </c>
      <c r="D97" s="31">
        <v>2.3380399999999999</v>
      </c>
      <c r="E97" s="31">
        <v>2.3380399999999999</v>
      </c>
      <c r="F97" s="31">
        <v>2.338039999999999</v>
      </c>
      <c r="G97" s="31">
        <v>1.967619999999999</v>
      </c>
      <c r="H97" s="31">
        <v>1.5972</v>
      </c>
      <c r="I97" s="31">
        <v>1.4205599999999989</v>
      </c>
      <c r="J97" s="31">
        <v>1.2541599999999999</v>
      </c>
      <c r="K97" s="31">
        <v>1.14896</v>
      </c>
      <c r="L97" s="31">
        <v>1.0251999999999999</v>
      </c>
      <c r="M97" s="31">
        <v>0.94472000000000023</v>
      </c>
      <c r="N97" s="31">
        <v>0.86603999999999981</v>
      </c>
      <c r="O97" s="31">
        <v>0.81512000000000029</v>
      </c>
      <c r="P97" s="31">
        <v>0.79039999999999988</v>
      </c>
      <c r="Q97" s="31">
        <v>0.79039999999999977</v>
      </c>
      <c r="R97" s="32">
        <v>0.79039999999999999</v>
      </c>
    </row>
    <row r="98" spans="1:18" x14ac:dyDescent="0.25">
      <c r="A98" s="30">
        <v>352</v>
      </c>
      <c r="B98" s="31">
        <v>2.3682799999999999</v>
      </c>
      <c r="C98" s="31">
        <v>2.3682799999999999</v>
      </c>
      <c r="D98" s="31">
        <v>2.3682799999999991</v>
      </c>
      <c r="E98" s="31">
        <v>2.3682799999999999</v>
      </c>
      <c r="F98" s="31">
        <v>2.3682799999999999</v>
      </c>
      <c r="G98" s="31">
        <v>1.9943399999999989</v>
      </c>
      <c r="H98" s="31">
        <v>1.6204000000000001</v>
      </c>
      <c r="I98" s="31">
        <v>1.4319200000000001</v>
      </c>
      <c r="J98" s="31">
        <v>1.26312</v>
      </c>
      <c r="K98" s="31">
        <v>1.15872</v>
      </c>
      <c r="L98" s="31">
        <v>1.0364</v>
      </c>
      <c r="M98" s="31">
        <v>0.95304000000000011</v>
      </c>
      <c r="N98" s="31">
        <v>0.87227999999999994</v>
      </c>
      <c r="O98" s="31">
        <v>0.8218399999999999</v>
      </c>
      <c r="P98" s="31">
        <v>0.79679999999999995</v>
      </c>
      <c r="Q98" s="31">
        <v>0.79679999999999973</v>
      </c>
      <c r="R98" s="32">
        <v>0.79679999999999984</v>
      </c>
    </row>
    <row r="99" spans="1:18" x14ac:dyDescent="0.25">
      <c r="A99" s="30">
        <v>368</v>
      </c>
      <c r="B99" s="31">
        <v>2.39852</v>
      </c>
      <c r="C99" s="31">
        <v>2.3985200000000009</v>
      </c>
      <c r="D99" s="31">
        <v>2.39852</v>
      </c>
      <c r="E99" s="31">
        <v>2.3985200000000009</v>
      </c>
      <c r="F99" s="31">
        <v>2.39852</v>
      </c>
      <c r="G99" s="31">
        <v>2.021059999999999</v>
      </c>
      <c r="H99" s="31">
        <v>1.6435999999999999</v>
      </c>
      <c r="I99" s="31">
        <v>1.4432799999999999</v>
      </c>
      <c r="J99" s="31">
        <v>1.2720800000000001</v>
      </c>
      <c r="K99" s="31">
        <v>1.16848</v>
      </c>
      <c r="L99" s="31">
        <v>1.0476000000000001</v>
      </c>
      <c r="M99" s="31">
        <v>0.9613600000000001</v>
      </c>
      <c r="N99" s="31">
        <v>0.87852000000000019</v>
      </c>
      <c r="O99" s="31">
        <v>0.8285600000000003</v>
      </c>
      <c r="P99" s="31">
        <v>0.80320000000000014</v>
      </c>
      <c r="Q99" s="31">
        <v>0.80320000000000036</v>
      </c>
      <c r="R99" s="32">
        <v>0.80320000000000014</v>
      </c>
    </row>
    <row r="100" spans="1:18" x14ac:dyDescent="0.25">
      <c r="A100" s="30">
        <v>384</v>
      </c>
      <c r="B100" s="31">
        <v>2.42876</v>
      </c>
      <c r="C100" s="31">
        <v>2.42876</v>
      </c>
      <c r="D100" s="31">
        <v>2.42876</v>
      </c>
      <c r="E100" s="31">
        <v>2.42876</v>
      </c>
      <c r="F100" s="31">
        <v>2.42876</v>
      </c>
      <c r="G100" s="31">
        <v>2.0477799999999999</v>
      </c>
      <c r="H100" s="31">
        <v>1.6668000000000001</v>
      </c>
      <c r="I100" s="31">
        <v>1.4546399999999999</v>
      </c>
      <c r="J100" s="31">
        <v>1.28104</v>
      </c>
      <c r="K100" s="31">
        <v>1.17824</v>
      </c>
      <c r="L100" s="31">
        <v>1.0588</v>
      </c>
      <c r="M100" s="31">
        <v>0.9696800000000001</v>
      </c>
      <c r="N100" s="31">
        <v>0.88475999999999999</v>
      </c>
      <c r="O100" s="31">
        <v>0.83528000000000024</v>
      </c>
      <c r="P100" s="31">
        <v>0.8096000000000001</v>
      </c>
      <c r="Q100" s="31">
        <v>0.80960000000000021</v>
      </c>
      <c r="R100" s="32">
        <v>0.8096000000000001</v>
      </c>
    </row>
    <row r="101" spans="1:18" x14ac:dyDescent="0.25">
      <c r="A101" s="30">
        <v>400</v>
      </c>
      <c r="B101" s="31">
        <v>2.4590000000000001</v>
      </c>
      <c r="C101" s="31">
        <v>2.4590000000000001</v>
      </c>
      <c r="D101" s="31">
        <v>2.4590000000000001</v>
      </c>
      <c r="E101" s="31">
        <v>2.459000000000001</v>
      </c>
      <c r="F101" s="31">
        <v>2.4590000000000001</v>
      </c>
      <c r="G101" s="31">
        <v>2.0744999999999991</v>
      </c>
      <c r="H101" s="31">
        <v>1.69</v>
      </c>
      <c r="I101" s="31">
        <v>1.466</v>
      </c>
      <c r="J101" s="31">
        <v>1.29</v>
      </c>
      <c r="K101" s="31">
        <v>1.1879999999999999</v>
      </c>
      <c r="L101" s="31">
        <v>1.07</v>
      </c>
      <c r="M101" s="31">
        <v>0.97800000000000031</v>
      </c>
      <c r="N101" s="31">
        <v>0.89100000000000024</v>
      </c>
      <c r="O101" s="31">
        <v>0.84200000000000008</v>
      </c>
      <c r="P101" s="31">
        <v>0.81600000000000006</v>
      </c>
      <c r="Q101" s="31">
        <v>0.81599999999999995</v>
      </c>
      <c r="R101" s="32">
        <v>0.81599999999999995</v>
      </c>
    </row>
    <row r="102" spans="1:18" x14ac:dyDescent="0.25">
      <c r="A102" s="30">
        <v>416</v>
      </c>
      <c r="B102" s="31">
        <v>2.497240000000001</v>
      </c>
      <c r="C102" s="31">
        <v>2.497240000000001</v>
      </c>
      <c r="D102" s="31">
        <v>2.497240000000001</v>
      </c>
      <c r="E102" s="31">
        <v>2.4972400000000001</v>
      </c>
      <c r="F102" s="31">
        <v>2.4972400000000001</v>
      </c>
      <c r="G102" s="31">
        <v>2.1007400000000001</v>
      </c>
      <c r="H102" s="31">
        <v>1.70424</v>
      </c>
      <c r="I102" s="31">
        <v>1.487440000000001</v>
      </c>
      <c r="J102" s="31">
        <v>1.3004</v>
      </c>
      <c r="K102" s="31">
        <v>1.19712</v>
      </c>
      <c r="L102" s="31">
        <v>1.0828</v>
      </c>
      <c r="M102" s="31">
        <v>0.99048000000000014</v>
      </c>
      <c r="N102" s="31">
        <v>0.90075999999999978</v>
      </c>
      <c r="O102" s="31">
        <v>0.84951999999999983</v>
      </c>
      <c r="P102" s="31">
        <v>0.82352000000000003</v>
      </c>
      <c r="Q102" s="31">
        <v>0.82352000000000003</v>
      </c>
      <c r="R102" s="32">
        <v>0.82352000000000014</v>
      </c>
    </row>
    <row r="103" spans="1:18" x14ac:dyDescent="0.25">
      <c r="A103" s="30">
        <v>432</v>
      </c>
      <c r="B103" s="31">
        <v>2.5354800000000011</v>
      </c>
      <c r="C103" s="31">
        <v>2.5354800000000002</v>
      </c>
      <c r="D103" s="31">
        <v>2.5354800000000011</v>
      </c>
      <c r="E103" s="31">
        <v>2.5354800000000011</v>
      </c>
      <c r="F103" s="31">
        <v>2.5354800000000002</v>
      </c>
      <c r="G103" s="31">
        <v>2.1269799999999992</v>
      </c>
      <c r="H103" s="31">
        <v>1.71848</v>
      </c>
      <c r="I103" s="31">
        <v>1.50888</v>
      </c>
      <c r="J103" s="31">
        <v>1.3108000000000011</v>
      </c>
      <c r="K103" s="31">
        <v>1.20624</v>
      </c>
      <c r="L103" s="31">
        <v>1.0955999999999999</v>
      </c>
      <c r="M103" s="31">
        <v>1.0029600000000001</v>
      </c>
      <c r="N103" s="31">
        <v>0.91052</v>
      </c>
      <c r="O103" s="31">
        <v>0.85704000000000025</v>
      </c>
      <c r="P103" s="31">
        <v>0.83104000000000022</v>
      </c>
      <c r="Q103" s="31">
        <v>0.83103999999999989</v>
      </c>
      <c r="R103" s="32">
        <v>0.83104</v>
      </c>
    </row>
    <row r="104" spans="1:18" x14ac:dyDescent="0.25">
      <c r="A104" s="30">
        <v>448</v>
      </c>
      <c r="B104" s="31">
        <v>2.5737199999999998</v>
      </c>
      <c r="C104" s="31">
        <v>2.5737199999999998</v>
      </c>
      <c r="D104" s="31">
        <v>2.5737199999999998</v>
      </c>
      <c r="E104" s="31">
        <v>2.5737199999999989</v>
      </c>
      <c r="F104" s="31">
        <v>2.573719999999998</v>
      </c>
      <c r="G104" s="31">
        <v>2.1532200000000001</v>
      </c>
      <c r="H104" s="31">
        <v>1.73272</v>
      </c>
      <c r="I104" s="31">
        <v>1.5303199999999999</v>
      </c>
      <c r="J104" s="31">
        <v>1.3211999999999999</v>
      </c>
      <c r="K104" s="31">
        <v>1.21536</v>
      </c>
      <c r="L104" s="31">
        <v>1.1084000000000001</v>
      </c>
      <c r="M104" s="31">
        <v>1.0154399999999999</v>
      </c>
      <c r="N104" s="31">
        <v>0.92027999999999999</v>
      </c>
      <c r="O104" s="31">
        <v>0.86456</v>
      </c>
      <c r="P104" s="31">
        <v>0.83855999999999997</v>
      </c>
      <c r="Q104" s="31">
        <v>0.83855999999999986</v>
      </c>
      <c r="R104" s="32">
        <v>0.83856000000000008</v>
      </c>
    </row>
    <row r="105" spans="1:18" x14ac:dyDescent="0.25">
      <c r="A105" s="30">
        <v>464</v>
      </c>
      <c r="B105" s="31">
        <v>2.6119599999999998</v>
      </c>
      <c r="C105" s="31">
        <v>2.6119600000000012</v>
      </c>
      <c r="D105" s="31">
        <v>2.6119599999999998</v>
      </c>
      <c r="E105" s="31">
        <v>2.6119599999999998</v>
      </c>
      <c r="F105" s="31">
        <v>2.6119599999999989</v>
      </c>
      <c r="G105" s="31">
        <v>2.1794599999999988</v>
      </c>
      <c r="H105" s="31">
        <v>1.7469600000000001</v>
      </c>
      <c r="I105" s="31">
        <v>1.55176</v>
      </c>
      <c r="J105" s="31">
        <v>1.3315999999999999</v>
      </c>
      <c r="K105" s="31">
        <v>1.22448</v>
      </c>
      <c r="L105" s="31">
        <v>1.1212</v>
      </c>
      <c r="M105" s="31">
        <v>1.0279199999999999</v>
      </c>
      <c r="N105" s="31">
        <v>0.93003999999999998</v>
      </c>
      <c r="O105" s="31">
        <v>0.87207999999999986</v>
      </c>
      <c r="P105" s="31">
        <v>0.84607999999999983</v>
      </c>
      <c r="Q105" s="31">
        <v>0.84607999999999983</v>
      </c>
      <c r="R105" s="32">
        <v>0.84607999999999972</v>
      </c>
    </row>
    <row r="106" spans="1:18" x14ac:dyDescent="0.25">
      <c r="A106" s="30">
        <v>480</v>
      </c>
      <c r="B106" s="31">
        <v>2.650199999999999</v>
      </c>
      <c r="C106" s="31">
        <v>2.6501999999999999</v>
      </c>
      <c r="D106" s="31">
        <v>2.650199999999999</v>
      </c>
      <c r="E106" s="31">
        <v>2.6501999999999999</v>
      </c>
      <c r="F106" s="31">
        <v>2.650199999999999</v>
      </c>
      <c r="G106" s="31">
        <v>2.205699999999998</v>
      </c>
      <c r="H106" s="31">
        <v>1.7612000000000001</v>
      </c>
      <c r="I106" s="31">
        <v>1.5731999999999999</v>
      </c>
      <c r="J106" s="31">
        <v>1.3420000000000001</v>
      </c>
      <c r="K106" s="31">
        <v>1.2336</v>
      </c>
      <c r="L106" s="31">
        <v>1.1339999999999999</v>
      </c>
      <c r="M106" s="31">
        <v>1.0404</v>
      </c>
      <c r="N106" s="31">
        <v>0.93979999999999997</v>
      </c>
      <c r="O106" s="31">
        <v>0.87959999999999972</v>
      </c>
      <c r="P106" s="31">
        <v>0.85360000000000003</v>
      </c>
      <c r="Q106" s="31">
        <v>0.85359999999999969</v>
      </c>
      <c r="R106" s="32">
        <v>0.85360000000000003</v>
      </c>
    </row>
    <row r="107" spans="1:18" x14ac:dyDescent="0.25">
      <c r="A107" s="30">
        <v>496</v>
      </c>
      <c r="B107" s="31">
        <v>2.6884400000000008</v>
      </c>
      <c r="C107" s="31">
        <v>2.6884399999999999</v>
      </c>
      <c r="D107" s="31">
        <v>2.6884399999999999</v>
      </c>
      <c r="E107" s="31">
        <v>2.6884399999999991</v>
      </c>
      <c r="F107" s="31">
        <v>2.6884399999999991</v>
      </c>
      <c r="G107" s="31">
        <v>2.2319399999999989</v>
      </c>
      <c r="H107" s="31">
        <v>1.7754399999999999</v>
      </c>
      <c r="I107" s="31">
        <v>1.5946400000000001</v>
      </c>
      <c r="J107" s="31">
        <v>1.3524</v>
      </c>
      <c r="K107" s="31">
        <v>1.24272</v>
      </c>
      <c r="L107" s="31">
        <v>1.1468</v>
      </c>
      <c r="M107" s="31">
        <v>1.05288</v>
      </c>
      <c r="N107" s="31">
        <v>0.94955999999999996</v>
      </c>
      <c r="O107" s="31">
        <v>0.88712000000000013</v>
      </c>
      <c r="P107" s="31">
        <v>0.86112</v>
      </c>
      <c r="Q107" s="31">
        <v>0.86111999999999966</v>
      </c>
      <c r="R107" s="32">
        <v>0.86111999999999966</v>
      </c>
    </row>
    <row r="108" spans="1:18" x14ac:dyDescent="0.25">
      <c r="A108" s="30">
        <v>512</v>
      </c>
      <c r="B108" s="31">
        <v>2.7385600000000001</v>
      </c>
      <c r="C108" s="31">
        <v>2.7385600000000001</v>
      </c>
      <c r="D108" s="31">
        <v>2.7385600000000001</v>
      </c>
      <c r="E108" s="31">
        <v>2.7385599999999992</v>
      </c>
      <c r="F108" s="31">
        <v>2.7385599999999992</v>
      </c>
      <c r="G108" s="31">
        <v>2.2665799999999989</v>
      </c>
      <c r="H108" s="31">
        <v>1.7946</v>
      </c>
      <c r="I108" s="31">
        <v>1.6146400000000001</v>
      </c>
      <c r="J108" s="31">
        <v>1.36832</v>
      </c>
      <c r="K108" s="31">
        <v>1.25484</v>
      </c>
      <c r="L108" s="31">
        <v>1.1552800000000001</v>
      </c>
      <c r="M108" s="31">
        <v>1.06332</v>
      </c>
      <c r="N108" s="31">
        <v>0.96028000000000013</v>
      </c>
      <c r="O108" s="31">
        <v>0.89608000000000032</v>
      </c>
      <c r="P108" s="31">
        <v>0.86924000000000001</v>
      </c>
      <c r="Q108" s="31">
        <v>0.86923999999999979</v>
      </c>
      <c r="R108" s="32">
        <v>0.86923999999999979</v>
      </c>
    </row>
    <row r="109" spans="1:18" x14ac:dyDescent="0.25">
      <c r="A109" s="30">
        <v>528</v>
      </c>
      <c r="B109" s="31">
        <v>2.7926400000000009</v>
      </c>
      <c r="C109" s="31">
        <v>2.79264</v>
      </c>
      <c r="D109" s="31">
        <v>2.79264</v>
      </c>
      <c r="E109" s="31">
        <v>2.79264</v>
      </c>
      <c r="F109" s="31">
        <v>2.7926399999999991</v>
      </c>
      <c r="G109" s="31">
        <v>2.30402</v>
      </c>
      <c r="H109" s="31">
        <v>1.8153999999999999</v>
      </c>
      <c r="I109" s="31">
        <v>1.6341600000000001</v>
      </c>
      <c r="J109" s="31">
        <v>1.38608</v>
      </c>
      <c r="K109" s="31">
        <v>1.26796</v>
      </c>
      <c r="L109" s="31">
        <v>1.16232</v>
      </c>
      <c r="M109" s="31">
        <v>1.07308</v>
      </c>
      <c r="N109" s="31">
        <v>0.97131999999999974</v>
      </c>
      <c r="O109" s="31">
        <v>0.90551999999999999</v>
      </c>
      <c r="P109" s="31">
        <v>0.87756000000000001</v>
      </c>
      <c r="Q109" s="31">
        <v>0.87755999999999978</v>
      </c>
      <c r="R109" s="32">
        <v>0.8775599999999999</v>
      </c>
    </row>
    <row r="110" spans="1:18" x14ac:dyDescent="0.25">
      <c r="A110" s="30">
        <v>544</v>
      </c>
      <c r="B110" s="31">
        <v>2.8467200000000008</v>
      </c>
      <c r="C110" s="31">
        <v>2.8467200000000008</v>
      </c>
      <c r="D110" s="31">
        <v>2.8467200000000008</v>
      </c>
      <c r="E110" s="31">
        <v>2.846719999999999</v>
      </c>
      <c r="F110" s="31">
        <v>2.846719999999999</v>
      </c>
      <c r="G110" s="31">
        <v>2.3414600000000001</v>
      </c>
      <c r="H110" s="31">
        <v>1.8362000000000001</v>
      </c>
      <c r="I110" s="31">
        <v>1.65368</v>
      </c>
      <c r="J110" s="31">
        <v>1.40384</v>
      </c>
      <c r="K110" s="31">
        <v>1.28108</v>
      </c>
      <c r="L110" s="31">
        <v>1.16936</v>
      </c>
      <c r="M110" s="31">
        <v>1.08284</v>
      </c>
      <c r="N110" s="31">
        <v>0.98236000000000001</v>
      </c>
      <c r="O110" s="31">
        <v>0.91496000000000033</v>
      </c>
      <c r="P110" s="31">
        <v>0.88588000000000011</v>
      </c>
      <c r="Q110" s="31">
        <v>0.88587999999999978</v>
      </c>
      <c r="R110" s="32">
        <v>0.88588</v>
      </c>
    </row>
    <row r="111" spans="1:18" x14ac:dyDescent="0.25">
      <c r="A111" s="30">
        <v>560</v>
      </c>
      <c r="B111" s="31">
        <v>2.9008000000000012</v>
      </c>
      <c r="C111" s="31">
        <v>2.9007999999999998</v>
      </c>
      <c r="D111" s="31">
        <v>2.9008000000000012</v>
      </c>
      <c r="E111" s="31">
        <v>2.9007999999999998</v>
      </c>
      <c r="F111" s="31">
        <v>2.9007999999999998</v>
      </c>
      <c r="G111" s="31">
        <v>2.3788999999999998</v>
      </c>
      <c r="H111" s="31">
        <v>1.857</v>
      </c>
      <c r="I111" s="31">
        <v>1.6732</v>
      </c>
      <c r="J111" s="31">
        <v>1.4216</v>
      </c>
      <c r="K111" s="31">
        <v>1.2942</v>
      </c>
      <c r="L111" s="31">
        <v>1.1763999999999999</v>
      </c>
      <c r="M111" s="31">
        <v>1.0926</v>
      </c>
      <c r="N111" s="31">
        <v>0.99340000000000017</v>
      </c>
      <c r="O111" s="31">
        <v>0.92440000000000022</v>
      </c>
      <c r="P111" s="31">
        <v>0.89420000000000011</v>
      </c>
      <c r="Q111" s="31">
        <v>0.89419999999999999</v>
      </c>
      <c r="R111" s="32">
        <v>0.89420000000000011</v>
      </c>
    </row>
    <row r="112" spans="1:18" x14ac:dyDescent="0.25">
      <c r="A112" s="30">
        <v>576</v>
      </c>
      <c r="B112" s="31">
        <v>2.9548800000000011</v>
      </c>
      <c r="C112" s="31">
        <v>2.9548800000000002</v>
      </c>
      <c r="D112" s="31">
        <v>2.9548800000000002</v>
      </c>
      <c r="E112" s="31">
        <v>2.9548800000000002</v>
      </c>
      <c r="F112" s="31">
        <v>2.9548799999999988</v>
      </c>
      <c r="G112" s="31">
        <v>2.416339999999999</v>
      </c>
      <c r="H112" s="31">
        <v>1.8777999999999999</v>
      </c>
      <c r="I112" s="31">
        <v>1.69272</v>
      </c>
      <c r="J112" s="31">
        <v>1.43936</v>
      </c>
      <c r="K112" s="31">
        <v>1.30732</v>
      </c>
      <c r="L112" s="31">
        <v>1.18344</v>
      </c>
      <c r="M112" s="31">
        <v>1.10236</v>
      </c>
      <c r="N112" s="31">
        <v>1.00444</v>
      </c>
      <c r="O112" s="31">
        <v>0.93384000000000023</v>
      </c>
      <c r="P112" s="31">
        <v>0.90251999999999988</v>
      </c>
      <c r="Q112" s="31">
        <v>0.90251999999999977</v>
      </c>
      <c r="R112" s="32">
        <v>0.90251999999999999</v>
      </c>
    </row>
    <row r="113" spans="1:18" x14ac:dyDescent="0.25">
      <c r="A113" s="30">
        <v>592</v>
      </c>
      <c r="B113" s="31">
        <v>3.008960000000001</v>
      </c>
      <c r="C113" s="31">
        <v>3.008960000000001</v>
      </c>
      <c r="D113" s="31">
        <v>3.008960000000001</v>
      </c>
      <c r="E113" s="31">
        <v>3.008960000000001</v>
      </c>
      <c r="F113" s="31">
        <v>3.008960000000001</v>
      </c>
      <c r="G113" s="31">
        <v>2.453780000000001</v>
      </c>
      <c r="H113" s="31">
        <v>1.8986000000000001</v>
      </c>
      <c r="I113" s="31">
        <v>1.71224</v>
      </c>
      <c r="J113" s="31">
        <v>1.45712</v>
      </c>
      <c r="K113" s="31">
        <v>1.3204400000000009</v>
      </c>
      <c r="L113" s="31">
        <v>1.19048</v>
      </c>
      <c r="M113" s="31">
        <v>1.11212</v>
      </c>
      <c r="N113" s="31">
        <v>1.0154799999999999</v>
      </c>
      <c r="O113" s="31">
        <v>0.94328000000000034</v>
      </c>
      <c r="P113" s="31">
        <v>0.91084000000000032</v>
      </c>
      <c r="Q113" s="31">
        <v>0.91084000000000032</v>
      </c>
      <c r="R113" s="32">
        <v>0.91084000000000021</v>
      </c>
    </row>
    <row r="114" spans="1:18" x14ac:dyDescent="0.25">
      <c r="A114" s="30">
        <v>608</v>
      </c>
      <c r="B114" s="31">
        <v>3.0360000000000009</v>
      </c>
      <c r="C114" s="31">
        <v>3.0360000000000009</v>
      </c>
      <c r="D114" s="31">
        <v>3.036</v>
      </c>
      <c r="E114" s="31">
        <v>3.0360000000000009</v>
      </c>
      <c r="F114" s="31">
        <v>3.036</v>
      </c>
      <c r="G114" s="31">
        <v>2.4724999999999988</v>
      </c>
      <c r="H114" s="31">
        <v>1.909</v>
      </c>
      <c r="I114" s="31">
        <v>1.722</v>
      </c>
      <c r="J114" s="31">
        <v>1.466</v>
      </c>
      <c r="K114" s="31">
        <v>1.327</v>
      </c>
      <c r="L114" s="31">
        <v>1.194</v>
      </c>
      <c r="M114" s="31">
        <v>1.117</v>
      </c>
      <c r="N114" s="31">
        <v>1.0209999999999999</v>
      </c>
      <c r="O114" s="31">
        <v>0.94800000000000029</v>
      </c>
      <c r="P114" s="31">
        <v>0.91500000000000026</v>
      </c>
      <c r="Q114" s="31">
        <v>0.91500000000000015</v>
      </c>
      <c r="R114" s="32">
        <v>0.91500000000000004</v>
      </c>
    </row>
    <row r="115" spans="1:18" x14ac:dyDescent="0.25">
      <c r="A115" s="30">
        <v>624</v>
      </c>
      <c r="B115" s="31">
        <v>3.0360000000000009</v>
      </c>
      <c r="C115" s="31">
        <v>3.036</v>
      </c>
      <c r="D115" s="31">
        <v>3.036</v>
      </c>
      <c r="E115" s="31">
        <v>3.036</v>
      </c>
      <c r="F115" s="31">
        <v>3.036</v>
      </c>
      <c r="G115" s="31">
        <v>2.4725000000000001</v>
      </c>
      <c r="H115" s="31">
        <v>1.909</v>
      </c>
      <c r="I115" s="31">
        <v>1.722</v>
      </c>
      <c r="J115" s="31">
        <v>1.466</v>
      </c>
      <c r="K115" s="31">
        <v>1.327</v>
      </c>
      <c r="L115" s="31">
        <v>1.194</v>
      </c>
      <c r="M115" s="31">
        <v>1.117</v>
      </c>
      <c r="N115" s="31">
        <v>1.0209999999999999</v>
      </c>
      <c r="O115" s="31">
        <v>0.94800000000000006</v>
      </c>
      <c r="P115" s="31">
        <v>0.91500000000000004</v>
      </c>
      <c r="Q115" s="31">
        <v>0.91500000000000004</v>
      </c>
      <c r="R115" s="32">
        <v>0.91499999999999992</v>
      </c>
    </row>
    <row r="116" spans="1:18" x14ac:dyDescent="0.25">
      <c r="A116" s="33">
        <v>640</v>
      </c>
      <c r="B116" s="34">
        <v>3.036</v>
      </c>
      <c r="C116" s="34">
        <v>3.036</v>
      </c>
      <c r="D116" s="34">
        <v>3.036</v>
      </c>
      <c r="E116" s="34">
        <v>3.036</v>
      </c>
      <c r="F116" s="34">
        <v>3.0359999999999991</v>
      </c>
      <c r="G116" s="34">
        <v>2.4724999999999988</v>
      </c>
      <c r="H116" s="34">
        <v>1.909</v>
      </c>
      <c r="I116" s="34">
        <v>1.722</v>
      </c>
      <c r="J116" s="34">
        <v>1.466</v>
      </c>
      <c r="K116" s="34">
        <v>1.327</v>
      </c>
      <c r="L116" s="34">
        <v>1.194</v>
      </c>
      <c r="M116" s="34">
        <v>1.117</v>
      </c>
      <c r="N116" s="34">
        <v>1.0209999999999999</v>
      </c>
      <c r="O116" s="34">
        <v>0.94800000000000006</v>
      </c>
      <c r="P116" s="34">
        <v>0.91499999999999992</v>
      </c>
      <c r="Q116" s="34">
        <v>0.91499999999999992</v>
      </c>
      <c r="R116" s="35">
        <v>0.91500000000000004</v>
      </c>
    </row>
    <row r="119" spans="1:18" ht="28.9" customHeight="1" x14ac:dyDescent="0.5">
      <c r="A119" s="1" t="s">
        <v>32</v>
      </c>
    </row>
    <row r="120" spans="1:18" ht="32.1" customHeight="1" x14ac:dyDescent="0.25"/>
    <row r="121" spans="1:18" x14ac:dyDescent="0.25">
      <c r="A121" s="2"/>
      <c r="B121" s="3"/>
      <c r="C121" s="3"/>
      <c r="D121" s="4"/>
    </row>
    <row r="122" spans="1:18" x14ac:dyDescent="0.25">
      <c r="A122" s="5" t="s">
        <v>33</v>
      </c>
      <c r="B122" s="6">
        <v>1.375</v>
      </c>
      <c r="C122" s="6" t="s">
        <v>13</v>
      </c>
      <c r="D122" s="7"/>
    </row>
    <row r="123" spans="1:18" x14ac:dyDescent="0.25">
      <c r="A123" s="8"/>
      <c r="B123" s="9"/>
      <c r="C123" s="9"/>
      <c r="D123" s="10"/>
    </row>
    <row r="126" spans="1:18" ht="48" customHeight="1" x14ac:dyDescent="0.25">
      <c r="A126" s="21" t="s">
        <v>34</v>
      </c>
      <c r="B126" s="23" t="s">
        <v>35</v>
      </c>
    </row>
    <row r="127" spans="1:18" x14ac:dyDescent="0.25">
      <c r="A127" s="5">
        <v>0</v>
      </c>
      <c r="B127" s="32">
        <v>9.000000000000008E-2</v>
      </c>
    </row>
    <row r="128" spans="1:18" x14ac:dyDescent="0.25">
      <c r="A128" s="5">
        <v>0.125</v>
      </c>
      <c r="B128" s="32">
        <v>8.107738095238104E-2</v>
      </c>
    </row>
    <row r="129" spans="1:2" x14ac:dyDescent="0.25">
      <c r="A129" s="5">
        <v>0.25</v>
      </c>
      <c r="B129" s="32">
        <v>6.2541666666666718E-2</v>
      </c>
    </row>
    <row r="130" spans="1:2" x14ac:dyDescent="0.25">
      <c r="A130" s="5">
        <v>0.375</v>
      </c>
      <c r="B130" s="32">
        <v>1.6182777777777879E-2</v>
      </c>
    </row>
    <row r="131" spans="1:2" x14ac:dyDescent="0.25">
      <c r="A131" s="5">
        <v>0.5</v>
      </c>
      <c r="B131" s="32">
        <v>4.0166666666666462E-2</v>
      </c>
    </row>
    <row r="132" spans="1:2" x14ac:dyDescent="0.25">
      <c r="A132" s="5">
        <v>0.625</v>
      </c>
      <c r="B132" s="32">
        <v>4.5153333333333379E-2</v>
      </c>
    </row>
    <row r="133" spans="1:2" x14ac:dyDescent="0.25">
      <c r="A133" s="5">
        <v>0.75</v>
      </c>
      <c r="B133" s="32">
        <v>3.2625000000000133E-2</v>
      </c>
    </row>
    <row r="134" spans="1:2" x14ac:dyDescent="0.25">
      <c r="A134" s="5">
        <v>0.875</v>
      </c>
      <c r="B134" s="32">
        <v>2.7428333333333391E-2</v>
      </c>
    </row>
    <row r="135" spans="1:2" x14ac:dyDescent="0.25">
      <c r="A135" s="5">
        <v>1</v>
      </c>
      <c r="B135" s="32">
        <v>1.6777777777777999E-2</v>
      </c>
    </row>
    <row r="136" spans="1:2" x14ac:dyDescent="0.25">
      <c r="A136" s="5">
        <v>1.125</v>
      </c>
      <c r="B136" s="32">
        <v>2.8556111111110831E-2</v>
      </c>
    </row>
    <row r="137" spans="1:2" x14ac:dyDescent="0.25">
      <c r="A137" s="5">
        <v>1.25</v>
      </c>
      <c r="B137" s="32">
        <v>1.3499761315801001E-2</v>
      </c>
    </row>
    <row r="138" spans="1:2" x14ac:dyDescent="0.25">
      <c r="A138" s="5">
        <v>1.375</v>
      </c>
      <c r="B138" s="32">
        <v>0</v>
      </c>
    </row>
    <row r="139" spans="1:2" x14ac:dyDescent="0.25">
      <c r="A139" s="5">
        <v>1.5</v>
      </c>
      <c r="B139" s="32">
        <v>0</v>
      </c>
    </row>
    <row r="140" spans="1:2" x14ac:dyDescent="0.25">
      <c r="A140" s="5">
        <v>1.625</v>
      </c>
      <c r="B140" s="32">
        <v>0</v>
      </c>
    </row>
    <row r="141" spans="1:2" x14ac:dyDescent="0.25">
      <c r="A141" s="5">
        <v>1.75</v>
      </c>
      <c r="B141" s="32">
        <v>0</v>
      </c>
    </row>
    <row r="142" spans="1:2" x14ac:dyDescent="0.25">
      <c r="A142" s="5">
        <v>1.875</v>
      </c>
      <c r="B142" s="32">
        <v>0</v>
      </c>
    </row>
    <row r="143" spans="1:2" x14ac:dyDescent="0.25">
      <c r="A143" s="5">
        <v>2</v>
      </c>
      <c r="B143" s="32">
        <v>0</v>
      </c>
    </row>
    <row r="144" spans="1:2" x14ac:dyDescent="0.25">
      <c r="A144" s="5">
        <v>2.125</v>
      </c>
      <c r="B144" s="32">
        <v>0</v>
      </c>
    </row>
    <row r="145" spans="1:2" x14ac:dyDescent="0.25">
      <c r="A145" s="5">
        <v>2.25</v>
      </c>
      <c r="B145" s="32">
        <v>0</v>
      </c>
    </row>
    <row r="146" spans="1:2" x14ac:dyDescent="0.25">
      <c r="A146" s="5">
        <v>2.375</v>
      </c>
      <c r="B146" s="32">
        <v>0</v>
      </c>
    </row>
    <row r="147" spans="1:2" x14ac:dyDescent="0.25">
      <c r="A147" s="5">
        <v>2.5</v>
      </c>
      <c r="B147" s="32">
        <v>0</v>
      </c>
    </row>
    <row r="148" spans="1:2" x14ac:dyDescent="0.25">
      <c r="A148" s="5">
        <v>2.625</v>
      </c>
      <c r="B148" s="32">
        <v>0</v>
      </c>
    </row>
    <row r="149" spans="1:2" x14ac:dyDescent="0.25">
      <c r="A149" s="5">
        <v>2.75</v>
      </c>
      <c r="B149" s="32">
        <v>0</v>
      </c>
    </row>
    <row r="150" spans="1:2" x14ac:dyDescent="0.25">
      <c r="A150" s="5">
        <v>2.875</v>
      </c>
      <c r="B150" s="32">
        <v>0</v>
      </c>
    </row>
    <row r="151" spans="1:2" x14ac:dyDescent="0.25">
      <c r="A151" s="5">
        <v>3</v>
      </c>
      <c r="B151" s="32">
        <v>0</v>
      </c>
    </row>
    <row r="152" spans="1:2" x14ac:dyDescent="0.25">
      <c r="A152" s="5">
        <v>3.125</v>
      </c>
      <c r="B152" s="32">
        <v>0</v>
      </c>
    </row>
    <row r="153" spans="1:2" x14ac:dyDescent="0.25">
      <c r="A153" s="5">
        <v>3.25</v>
      </c>
      <c r="B153" s="32">
        <v>0</v>
      </c>
    </row>
    <row r="154" spans="1:2" x14ac:dyDescent="0.25">
      <c r="A154" s="5">
        <v>3.375</v>
      </c>
      <c r="B154" s="32">
        <v>0</v>
      </c>
    </row>
    <row r="155" spans="1:2" x14ac:dyDescent="0.25">
      <c r="A155" s="5">
        <v>3.5</v>
      </c>
      <c r="B155" s="32">
        <v>0</v>
      </c>
    </row>
    <row r="156" spans="1:2" x14ac:dyDescent="0.25">
      <c r="A156" s="5">
        <v>3.625</v>
      </c>
      <c r="B156" s="32">
        <v>0</v>
      </c>
    </row>
    <row r="157" spans="1:2" x14ac:dyDescent="0.25">
      <c r="A157" s="5">
        <v>3.75</v>
      </c>
      <c r="B157" s="32">
        <v>0</v>
      </c>
    </row>
    <row r="158" spans="1:2" x14ac:dyDescent="0.25">
      <c r="A158" s="5">
        <v>3.875</v>
      </c>
      <c r="B158" s="32">
        <v>0</v>
      </c>
    </row>
    <row r="159" spans="1:2" x14ac:dyDescent="0.25">
      <c r="A159" s="8">
        <v>4</v>
      </c>
      <c r="B159" s="35">
        <v>0</v>
      </c>
    </row>
  </sheetData>
  <sheetProtection algorithmName="SHA-512" hashValue="k/yn/cmUv3g2V9R8LVjpbmT/mbjFrHq1LzrwJoLdDVHE7jpNwdtWBku7uaMnIgwfW3IBLYb4IB5g/q//khpkVQ==" saltValue="qOu0LV5armnxrfU9aL1boQ==" spinCount="100000"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5:R159"/>
  <sheetViews>
    <sheetView workbookViewId="0">
      <selection activeCell="B37" sqref="B3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42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0.13000000000000009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41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128</v>
      </c>
      <c r="B42" s="6">
        <v>43.636485152977663</v>
      </c>
      <c r="C42" s="6">
        <f>43.6364851529776 * $B$37 / 100</f>
        <v>43.636485152977599</v>
      </c>
      <c r="D42" s="6">
        <v>5.4981001593081782</v>
      </c>
      <c r="E42" s="7">
        <f>5.49810015930817 * $B$37 / 100</f>
        <v>5.4981001593081702</v>
      </c>
    </row>
    <row r="43" spans="1:5" x14ac:dyDescent="0.25">
      <c r="A43" s="5">
        <v>148</v>
      </c>
      <c r="B43" s="6">
        <v>46.921904849548767</v>
      </c>
      <c r="C43" s="6">
        <f>46.9219048495487 * $B$37 / 100</f>
        <v>46.921904849548703</v>
      </c>
      <c r="D43" s="6">
        <v>5.9120557401434786</v>
      </c>
      <c r="E43" s="7">
        <f>5.91205574014347 * $B$37 / 100</f>
        <v>5.9120557401434697</v>
      </c>
    </row>
    <row r="44" spans="1:5" x14ac:dyDescent="0.25">
      <c r="A44" s="5">
        <v>168</v>
      </c>
      <c r="B44" s="6">
        <v>49.9918740688342</v>
      </c>
      <c r="C44" s="6">
        <f>49.9918740688342 * $B$37 / 100</f>
        <v>49.991874068834207</v>
      </c>
      <c r="D44" s="6">
        <v>6.2988650396196224</v>
      </c>
      <c r="E44" s="7">
        <f>6.29886503961962 * $B$37 / 100</f>
        <v>6.2988650396196189</v>
      </c>
    </row>
    <row r="45" spans="1:5" x14ac:dyDescent="0.25">
      <c r="A45" s="5">
        <v>188</v>
      </c>
      <c r="B45" s="6">
        <v>52.883927531134127</v>
      </c>
      <c r="C45" s="6">
        <f>52.8839275311341 * $B$37 / 100</f>
        <v>52.883927531134098</v>
      </c>
      <c r="D45" s="6">
        <v>6.6632573490839411</v>
      </c>
      <c r="E45" s="7">
        <f>6.66325734908394 * $B$37 / 100</f>
        <v>6.6632573490839402</v>
      </c>
    </row>
    <row r="46" spans="1:5" x14ac:dyDescent="0.25">
      <c r="A46" s="5">
        <v>208</v>
      </c>
      <c r="B46" s="6">
        <v>55.625822324908732</v>
      </c>
      <c r="C46" s="6">
        <f>55.6258223249087 * $B$37 / 100</f>
        <v>55.625822324908697</v>
      </c>
      <c r="D46" s="6">
        <v>7.0087299999999999</v>
      </c>
      <c r="E46" s="7">
        <f>7.00873 * $B$37 / 100</f>
        <v>7.0087300000000008</v>
      </c>
    </row>
    <row r="47" spans="1:5" x14ac:dyDescent="0.25">
      <c r="A47" s="5">
        <v>228</v>
      </c>
      <c r="B47" s="6">
        <v>58.271636184059687</v>
      </c>
      <c r="C47" s="6">
        <f>58.2716361840596 * $B$37 / 100</f>
        <v>58.271636184059595</v>
      </c>
      <c r="D47" s="6">
        <v>7.3420966666666674</v>
      </c>
      <c r="E47" s="7">
        <f>7.34209666666666 * $B$37 / 100</f>
        <v>7.3420966666666603</v>
      </c>
    </row>
    <row r="48" spans="1:5" x14ac:dyDescent="0.25">
      <c r="A48" s="5">
        <v>248</v>
      </c>
      <c r="B48" s="6">
        <v>60.917450043210643</v>
      </c>
      <c r="C48" s="6">
        <f>60.9174500432106 * $B$37 / 100</f>
        <v>60.9174500432106</v>
      </c>
      <c r="D48" s="6">
        <v>7.675463333333334</v>
      </c>
      <c r="E48" s="7">
        <f>7.67546333333333 * $B$37 / 100</f>
        <v>7.6754633333333295</v>
      </c>
    </row>
    <row r="49" spans="1:5" x14ac:dyDescent="0.25">
      <c r="A49" s="5">
        <v>268</v>
      </c>
      <c r="B49" s="6">
        <v>63.563263902361598</v>
      </c>
      <c r="C49" s="6">
        <f>63.5632639023616 * $B$37 / 100</f>
        <v>63.563263902361598</v>
      </c>
      <c r="D49" s="6">
        <v>8.0088299999999997</v>
      </c>
      <c r="E49" s="7">
        <f>8.00883 * $B$37 / 100</f>
        <v>8.0088299999999997</v>
      </c>
    </row>
    <row r="50" spans="1:5" x14ac:dyDescent="0.25">
      <c r="A50" s="5">
        <v>288</v>
      </c>
      <c r="B50" s="6">
        <v>66.209077761512546</v>
      </c>
      <c r="C50" s="6">
        <f>66.2090777615125 * $B$37 / 100</f>
        <v>66.209077761512503</v>
      </c>
      <c r="D50" s="6">
        <v>8.3421966666666663</v>
      </c>
      <c r="E50" s="7">
        <f>8.34219666666666 * $B$37 / 100</f>
        <v>8.3421966666666592</v>
      </c>
    </row>
    <row r="51" spans="1:5" x14ac:dyDescent="0.25">
      <c r="A51" s="5">
        <v>308</v>
      </c>
      <c r="B51" s="6">
        <v>68.752921568281621</v>
      </c>
      <c r="C51" s="6">
        <f>68.7529215682816 * $B$37 / 100</f>
        <v>68.752921568281593</v>
      </c>
      <c r="D51" s="6">
        <v>8.6627153333333329</v>
      </c>
      <c r="E51" s="7">
        <f>8.66271533333333 * $B$37 / 100</f>
        <v>8.6627153333333293</v>
      </c>
    </row>
    <row r="52" spans="1:5" x14ac:dyDescent="0.25">
      <c r="A52" s="5">
        <v>328</v>
      </c>
      <c r="B52" s="6">
        <v>71.143810296477895</v>
      </c>
      <c r="C52" s="6">
        <f>71.1438102964779 * $B$37 / 100</f>
        <v>71.143810296477895</v>
      </c>
      <c r="D52" s="6">
        <v>8.9639620000000004</v>
      </c>
      <c r="E52" s="7">
        <f>8.963962 * $B$37 / 100</f>
        <v>8.9639620000000004</v>
      </c>
    </row>
    <row r="53" spans="1:5" x14ac:dyDescent="0.25">
      <c r="A53" s="5">
        <v>348</v>
      </c>
      <c r="B53" s="6">
        <v>73.534699024674168</v>
      </c>
      <c r="C53" s="6">
        <f>73.5346990246741 * $B$37 / 100</f>
        <v>73.534699024674097</v>
      </c>
      <c r="D53" s="6">
        <v>9.265208666666668</v>
      </c>
      <c r="E53" s="7">
        <f>9.26520866666666 * $B$37 / 100</f>
        <v>9.2652086666666609</v>
      </c>
    </row>
    <row r="54" spans="1:5" x14ac:dyDescent="0.25">
      <c r="A54" s="5">
        <v>368</v>
      </c>
      <c r="B54" s="6">
        <v>75.925587752870427</v>
      </c>
      <c r="C54" s="6">
        <f>75.9255877528704 * $B$37 / 100</f>
        <v>75.925587752870399</v>
      </c>
      <c r="D54" s="6">
        <v>9.5664553333333338</v>
      </c>
      <c r="E54" s="7">
        <f>9.56645533333333 * $B$37 / 100</f>
        <v>9.5664553333333302</v>
      </c>
    </row>
    <row r="55" spans="1:5" x14ac:dyDescent="0.25">
      <c r="A55" s="5">
        <v>388</v>
      </c>
      <c r="B55" s="6">
        <v>78.316476481066701</v>
      </c>
      <c r="C55" s="6">
        <f>78.3164764810667 * $B$37 / 100</f>
        <v>78.316476481066701</v>
      </c>
      <c r="D55" s="6">
        <v>9.8677020000000031</v>
      </c>
      <c r="E55" s="7">
        <f>9.867702 * $B$37 / 100</f>
        <v>9.8677019999999995</v>
      </c>
    </row>
    <row r="56" spans="1:5" x14ac:dyDescent="0.25">
      <c r="A56" s="5">
        <v>408</v>
      </c>
      <c r="B56" s="6">
        <v>80.518875112435865</v>
      </c>
      <c r="C56" s="6">
        <f>80.5188751124358 * $B$37 / 100</f>
        <v>80.518875112435794</v>
      </c>
      <c r="D56" s="6">
        <v>10.145199333333339</v>
      </c>
      <c r="E56" s="7">
        <f>10.1451993333333 * $B$37 / 100</f>
        <v>10.1451993333333</v>
      </c>
    </row>
    <row r="57" spans="1:5" x14ac:dyDescent="0.25">
      <c r="A57" s="5">
        <v>428</v>
      </c>
      <c r="B57" s="6">
        <v>82.438538598564364</v>
      </c>
      <c r="C57" s="6">
        <f>82.4385385985643 * $B$37 / 100</f>
        <v>82.438538598564307</v>
      </c>
      <c r="D57" s="6">
        <v>10.38707266666667</v>
      </c>
      <c r="E57" s="7">
        <f>10.3870726666666 * $B$37 / 100</f>
        <v>10.387072666666599</v>
      </c>
    </row>
    <row r="58" spans="1:5" x14ac:dyDescent="0.25">
      <c r="A58" s="5">
        <v>448</v>
      </c>
      <c r="B58" s="6">
        <v>84.358202084692863</v>
      </c>
      <c r="C58" s="6">
        <f>84.3582020846928 * $B$37 / 100</f>
        <v>84.358202084692806</v>
      </c>
      <c r="D58" s="6">
        <v>10.628945999999999</v>
      </c>
      <c r="E58" s="7">
        <f>10.628946 * $B$37 / 100</f>
        <v>10.628945999999999</v>
      </c>
    </row>
    <row r="59" spans="1:5" x14ac:dyDescent="0.25">
      <c r="A59" s="5">
        <v>468</v>
      </c>
      <c r="B59" s="6">
        <v>86.277865570821362</v>
      </c>
      <c r="C59" s="6">
        <f>86.2778655708213 * $B$37 / 100</f>
        <v>86.277865570821305</v>
      </c>
      <c r="D59" s="6">
        <v>10.87081933333333</v>
      </c>
      <c r="E59" s="7">
        <f>10.8708193333333 * $B$37 / 100</f>
        <v>10.8708193333333</v>
      </c>
    </row>
    <row r="60" spans="1:5" x14ac:dyDescent="0.25">
      <c r="A60" s="5">
        <v>488</v>
      </c>
      <c r="B60" s="6">
        <v>88.197529056949861</v>
      </c>
      <c r="C60" s="6">
        <f>88.1975290569498 * $B$37 / 100</f>
        <v>88.197529056949804</v>
      </c>
      <c r="D60" s="6">
        <v>11.112692666666669</v>
      </c>
      <c r="E60" s="7">
        <f>11.1126926666666 * $B$37 / 100</f>
        <v>11.1126926666666</v>
      </c>
    </row>
    <row r="61" spans="1:5" x14ac:dyDescent="0.25">
      <c r="A61" s="5">
        <v>508</v>
      </c>
      <c r="B61" s="6">
        <v>90.043032504982449</v>
      </c>
      <c r="C61" s="6">
        <f>90.0430325049824 * $B$37 / 100</f>
        <v>90.043032504982406</v>
      </c>
      <c r="D61" s="6">
        <v>11.345222</v>
      </c>
      <c r="E61" s="7">
        <f>11.3452219999999 * $B$37 / 100</f>
        <v>11.3452219999999</v>
      </c>
    </row>
    <row r="62" spans="1:5" x14ac:dyDescent="0.25">
      <c r="A62" s="5">
        <v>528</v>
      </c>
      <c r="B62" s="6">
        <v>91.777295895871177</v>
      </c>
      <c r="C62" s="6">
        <f>91.7772958958711 * $B$37 / 100</f>
        <v>91.777295895871106</v>
      </c>
      <c r="D62" s="6">
        <v>11.56373533333333</v>
      </c>
      <c r="E62" s="7">
        <f>11.5637353333333 * $B$37 / 100</f>
        <v>11.5637353333333</v>
      </c>
    </row>
    <row r="63" spans="1:5" x14ac:dyDescent="0.25">
      <c r="A63" s="5">
        <v>548</v>
      </c>
      <c r="B63" s="6">
        <v>93.511559286759905</v>
      </c>
      <c r="C63" s="6">
        <f>93.5115592867599 * $B$37 / 100</f>
        <v>93.511559286759905</v>
      </c>
      <c r="D63" s="6">
        <v>11.782248666666669</v>
      </c>
      <c r="E63" s="7">
        <f>11.7822486666666 * $B$37 / 100</f>
        <v>11.7822486666666</v>
      </c>
    </row>
    <row r="64" spans="1:5" x14ac:dyDescent="0.25">
      <c r="A64" s="5">
        <v>568</v>
      </c>
      <c r="B64" s="6">
        <v>95.245822677648647</v>
      </c>
      <c r="C64" s="6">
        <f>95.2458226776486 * $B$37 / 100</f>
        <v>95.245822677648619</v>
      </c>
      <c r="D64" s="6">
        <v>12.000762</v>
      </c>
      <c r="E64" s="7">
        <f>12.000762 * $B$37 / 100</f>
        <v>12.000762</v>
      </c>
    </row>
    <row r="65" spans="1:18" x14ac:dyDescent="0.25">
      <c r="A65" s="5">
        <v>588</v>
      </c>
      <c r="B65" s="6">
        <v>96.980086068537375</v>
      </c>
      <c r="C65" s="6">
        <f>96.9800860685373 * $B$37 / 100</f>
        <v>96.980086068537318</v>
      </c>
      <c r="D65" s="6">
        <v>12.219275333333339</v>
      </c>
      <c r="E65" s="7">
        <f>12.2192753333333 * $B$37 / 100</f>
        <v>12.2192753333333</v>
      </c>
    </row>
    <row r="66" spans="1:18" x14ac:dyDescent="0.25">
      <c r="A66" s="5">
        <v>608</v>
      </c>
      <c r="B66" s="6">
        <v>98.615615985000488</v>
      </c>
      <c r="C66" s="6">
        <f>98.6156159850004 * $B$37 / 100</f>
        <v>98.615615985000403</v>
      </c>
      <c r="D66" s="6">
        <v>12.425348468296759</v>
      </c>
      <c r="E66" s="7">
        <f>12.4253484682967 * $B$37 / 100</f>
        <v>12.425348468296699</v>
      </c>
    </row>
    <row r="67" spans="1:18" x14ac:dyDescent="0.25">
      <c r="A67" s="5">
        <v>628</v>
      </c>
      <c r="B67" s="6">
        <v>100.2244597807404</v>
      </c>
      <c r="C67" s="6">
        <f>100.22445978074 * $B$37 / 100</f>
        <v>100.22445978074001</v>
      </c>
      <c r="D67" s="6">
        <v>12.628059211351561</v>
      </c>
      <c r="E67" s="7">
        <f>12.6280592113515 * $B$37 / 100</f>
        <v>12.628059211351502</v>
      </c>
    </row>
    <row r="68" spans="1:18" x14ac:dyDescent="0.25">
      <c r="A68" s="5">
        <v>648</v>
      </c>
      <c r="B68" s="6">
        <v>101.8078826053337</v>
      </c>
      <c r="C68" s="6">
        <f>101.807882605333 * $B$37 / 100</f>
        <v>101.80788260533299</v>
      </c>
      <c r="D68" s="6">
        <v>12.827566968532929</v>
      </c>
      <c r="E68" s="7">
        <f>12.8275669685329 * $B$37 / 100</f>
        <v>12.827566968532899</v>
      </c>
    </row>
    <row r="69" spans="1:18" x14ac:dyDescent="0.25">
      <c r="A69" s="5">
        <v>668</v>
      </c>
      <c r="B69" s="6">
        <v>103.3670526948582</v>
      </c>
      <c r="C69" s="6">
        <f>103.367052694858 * $B$37 / 100</f>
        <v>103.36705269485802</v>
      </c>
      <c r="D69" s="6">
        <v>13.02401893499059</v>
      </c>
      <c r="E69" s="7">
        <f>13.0240189349905 * $B$37 / 100</f>
        <v>13.024018934990499</v>
      </c>
    </row>
    <row r="70" spans="1:18" x14ac:dyDescent="0.25">
      <c r="A70" s="5">
        <v>688</v>
      </c>
      <c r="B70" s="6">
        <v>104.903051457342</v>
      </c>
      <c r="C70" s="6">
        <f>104.903051457342 * $B$37 / 100</f>
        <v>104.903051457342</v>
      </c>
      <c r="D70" s="6">
        <v>13.21755136573297</v>
      </c>
      <c r="E70" s="7">
        <f>13.2175513657329 * $B$37 / 100</f>
        <v>13.2175513657329</v>
      </c>
    </row>
    <row r="71" spans="1:18" x14ac:dyDescent="0.25">
      <c r="A71" s="5">
        <v>708</v>
      </c>
      <c r="B71" s="6">
        <v>106.4168822476111</v>
      </c>
      <c r="C71" s="6">
        <f>106.416882247611 * $B$37 / 100</f>
        <v>106.416882247611</v>
      </c>
      <c r="D71" s="6">
        <v>13.40829068123845</v>
      </c>
      <c r="E71" s="7">
        <f>13.4082906812384 * $B$37 / 100</f>
        <v>13.4082906812384</v>
      </c>
    </row>
    <row r="72" spans="1:18" x14ac:dyDescent="0.25">
      <c r="A72" s="5">
        <v>728</v>
      </c>
      <c r="B72" s="6">
        <v>107.90947803386921</v>
      </c>
      <c r="C72" s="6">
        <f>107.909478033869 * $B$37 / 100</f>
        <v>107.90947803386899</v>
      </c>
      <c r="D72" s="6">
        <v>13.59635443342744</v>
      </c>
      <c r="E72" s="7">
        <f>13.5963544334274 * $B$37 / 100</f>
        <v>13.5963544334274</v>
      </c>
    </row>
    <row r="73" spans="1:18" x14ac:dyDescent="0.25">
      <c r="A73" s="5">
        <v>748</v>
      </c>
      <c r="B73" s="6">
        <v>109.3817081224382</v>
      </c>
      <c r="C73" s="6">
        <f>109.381708122438 * $B$37 / 100</f>
        <v>109.381708122438</v>
      </c>
      <c r="D73" s="6">
        <v>13.781852152964721</v>
      </c>
      <c r="E73" s="7">
        <f>13.7818521529647 * $B$37 / 100</f>
        <v>13.781852152964699</v>
      </c>
    </row>
    <row r="74" spans="1:18" x14ac:dyDescent="0.25">
      <c r="A74" s="8">
        <v>768</v>
      </c>
      <c r="B74" s="9">
        <v>110.8343840783284</v>
      </c>
      <c r="C74" s="9">
        <f>110.834384078328 * $B$37 / 100</f>
        <v>110.834384078328</v>
      </c>
      <c r="D74" s="9">
        <v>13.964886095238089</v>
      </c>
      <c r="E74" s="10">
        <f>13.964886095238 * $B$37 / 100</f>
        <v>13.964886095238001</v>
      </c>
    </row>
    <row r="76" spans="1:18" ht="28.9" customHeight="1" x14ac:dyDescent="0.5">
      <c r="A76" s="1" t="s">
        <v>25</v>
      </c>
      <c r="B76" s="1"/>
    </row>
    <row r="77" spans="1:18" x14ac:dyDescent="0.25">
      <c r="A77" s="21" t="s">
        <v>26</v>
      </c>
      <c r="B77" s="22">
        <v>0</v>
      </c>
      <c r="C77" s="22">
        <v>6.25</v>
      </c>
      <c r="D77" s="22">
        <v>12.5</v>
      </c>
      <c r="E77" s="22">
        <v>18.75</v>
      </c>
      <c r="F77" s="22">
        <v>25</v>
      </c>
      <c r="G77" s="22">
        <v>31.25</v>
      </c>
      <c r="H77" s="22">
        <v>37.5</v>
      </c>
      <c r="I77" s="22">
        <v>43.75</v>
      </c>
      <c r="J77" s="22">
        <v>50</v>
      </c>
      <c r="K77" s="22">
        <v>56.25</v>
      </c>
      <c r="L77" s="22">
        <v>62.5</v>
      </c>
      <c r="M77" s="22">
        <v>68.75</v>
      </c>
      <c r="N77" s="22">
        <v>75</v>
      </c>
      <c r="O77" s="22">
        <v>81.25</v>
      </c>
      <c r="P77" s="22">
        <v>87.5</v>
      </c>
      <c r="Q77" s="22">
        <v>93.75</v>
      </c>
      <c r="R77" s="23">
        <v>100</v>
      </c>
    </row>
    <row r="78" spans="1:18" x14ac:dyDescent="0.25">
      <c r="A78" s="5" t="s">
        <v>27</v>
      </c>
      <c r="B78" s="6">
        <f>0 * $B$39 + (1 - 0) * $B$38</f>
        <v>14.7</v>
      </c>
      <c r="C78" s="6">
        <f>0.0625 * $B$39 + (1 - 0.0625) * $B$38</f>
        <v>14.344250000000001</v>
      </c>
      <c r="D78" s="6">
        <f>0.125 * $B$39 + (1 - 0.125) * $B$38</f>
        <v>13.988499999999998</v>
      </c>
      <c r="E78" s="6">
        <f>0.1875 * $B$39 + (1 - 0.1875) * $B$38</f>
        <v>13.63275</v>
      </c>
      <c r="F78" s="6">
        <f>0.25 * $B$39 + (1 - 0.25) * $B$38</f>
        <v>13.276999999999997</v>
      </c>
      <c r="G78" s="6">
        <f>0.3125 * $B$39 + (1 - 0.3125) * $B$38</f>
        <v>12.921249999999999</v>
      </c>
      <c r="H78" s="6">
        <f>0.375 * $B$39 + (1 - 0.375) * $B$38</f>
        <v>12.5655</v>
      </c>
      <c r="I78" s="6">
        <f>0.4375 * $B$39 + (1 - 0.4375) * $B$38</f>
        <v>12.20975</v>
      </c>
      <c r="J78" s="6">
        <f>0.5 * $B$39 + (1 - 0.5) * $B$38</f>
        <v>11.853999999999999</v>
      </c>
      <c r="K78" s="6">
        <f>0.5625 * $B$39 + (1 - 0.5625) * $B$38</f>
        <v>11.498249999999999</v>
      </c>
      <c r="L78" s="6">
        <f>0.625 * $B$39 + (1 - 0.625) * $B$38</f>
        <v>11.142499999999998</v>
      </c>
      <c r="M78" s="6">
        <f>0.6875 * $B$39 + (1 - 0.6875) * $B$38</f>
        <v>10.78675</v>
      </c>
      <c r="N78" s="6">
        <f>0.75 * $B$39 + (1 - 0.75) * $B$38</f>
        <v>10.430999999999999</v>
      </c>
      <c r="O78" s="6">
        <f>0.8125 * $B$39 + (1 - 0.8125) * $B$38</f>
        <v>10.075249999999999</v>
      </c>
      <c r="P78" s="6">
        <f>0.875 * $B$39 + (1 - 0.875) * $B$38</f>
        <v>9.7195</v>
      </c>
      <c r="Q78" s="6">
        <f>0.9375 * $B$39 + (1 - 0.9375) * $B$38</f>
        <v>9.3637499999999978</v>
      </c>
      <c r="R78" s="7">
        <f>1 * $B$39 + (1 - 1) * $B$38</f>
        <v>9.0079999999999991</v>
      </c>
    </row>
    <row r="79" spans="1:18" x14ac:dyDescent="0.25">
      <c r="A79" s="8" t="s">
        <v>28</v>
      </c>
      <c r="B79" s="9">
        <f>(0 * $B$39 + (1 - 0) * $B$38) * $B$37 / 100</f>
        <v>14.7</v>
      </c>
      <c r="C79" s="9">
        <f>(0.0625 * $B$39 + (1 - 0.0625) * $B$38) * $B$37 / 100</f>
        <v>14.344249999999999</v>
      </c>
      <c r="D79" s="9">
        <f>(0.125 * $B$39 + (1 - 0.125) * $B$38) * $B$37 / 100</f>
        <v>13.988499999999998</v>
      </c>
      <c r="E79" s="9">
        <f>(0.1875 * $B$39 + (1 - 0.1875) * $B$38) * $B$37 / 100</f>
        <v>13.632749999999998</v>
      </c>
      <c r="F79" s="9">
        <f>(0.25 * $B$39 + (1 - 0.25) * $B$38) * $B$37 / 100</f>
        <v>13.276999999999997</v>
      </c>
      <c r="G79" s="9">
        <f>(0.3125 * $B$39 + (1 - 0.3125) * $B$38) * $B$37 / 100</f>
        <v>12.921249999999997</v>
      </c>
      <c r="H79" s="9">
        <f>(0.375 * $B$39 + (1 - 0.375) * $B$38) * $B$37 / 100</f>
        <v>12.5655</v>
      </c>
      <c r="I79" s="9">
        <f>(0.4375 * $B$39 + (1 - 0.4375) * $B$38) * $B$37 / 100</f>
        <v>12.20975</v>
      </c>
      <c r="J79" s="9">
        <f>(0.5 * $B$39 + (1 - 0.5) * $B$38) * $B$37 / 100</f>
        <v>11.853999999999999</v>
      </c>
      <c r="K79" s="9">
        <f>(0.5625 * $B$39 + (1 - 0.5625) * $B$38) * $B$37 / 100</f>
        <v>11.498249999999999</v>
      </c>
      <c r="L79" s="9">
        <f>(0.625 * $B$39 + (1 - 0.625) * $B$38) * $B$37 / 100</f>
        <v>11.142499999999998</v>
      </c>
      <c r="M79" s="9">
        <f>(0.6875 * $B$39 + (1 - 0.6875) * $B$38) * $B$37 / 100</f>
        <v>10.78675</v>
      </c>
      <c r="N79" s="9">
        <f>(0.75 * $B$39 + (1 - 0.75) * $B$38) * $B$37 / 100</f>
        <v>10.430999999999999</v>
      </c>
      <c r="O79" s="9">
        <f>(0.8125 * $B$39 + (1 - 0.8125) * $B$38) * $B$37 / 100</f>
        <v>10.075249999999999</v>
      </c>
      <c r="P79" s="9">
        <f>(0.875 * $B$39 + (1 - 0.875) * $B$38) * $B$37 / 100</f>
        <v>9.7195</v>
      </c>
      <c r="Q79" s="9">
        <f>(0.9375 * $B$39 + (1 - 0.9375) * $B$38) * $B$37 / 100</f>
        <v>9.3637499999999978</v>
      </c>
      <c r="R79" s="10">
        <f>(1 * $B$39 + (1 - 1) * $B$38) * $B$37 / 100</f>
        <v>9.0079999999999991</v>
      </c>
    </row>
    <row r="81" spans="1:18" ht="28.9" customHeight="1" x14ac:dyDescent="0.5">
      <c r="A81" s="1" t="s">
        <v>29</v>
      </c>
      <c r="B81" s="1"/>
    </row>
    <row r="82" spans="1:18" x14ac:dyDescent="0.25">
      <c r="A82" s="24" t="s">
        <v>30</v>
      </c>
      <c r="B82" s="25" t="s">
        <v>31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6"/>
    </row>
    <row r="83" spans="1:18" x14ac:dyDescent="0.25">
      <c r="A83" s="27" t="s">
        <v>41</v>
      </c>
      <c r="B83" s="28">
        <v>4</v>
      </c>
      <c r="C83" s="28">
        <v>5</v>
      </c>
      <c r="D83" s="28">
        <v>6</v>
      </c>
      <c r="E83" s="28">
        <v>7</v>
      </c>
      <c r="F83" s="28">
        <v>8</v>
      </c>
      <c r="G83" s="28">
        <v>9</v>
      </c>
      <c r="H83" s="28">
        <v>10</v>
      </c>
      <c r="I83" s="28">
        <v>11</v>
      </c>
      <c r="J83" s="28">
        <v>12</v>
      </c>
      <c r="K83" s="28">
        <v>13</v>
      </c>
      <c r="L83" s="28">
        <v>14</v>
      </c>
      <c r="M83" s="28">
        <v>15</v>
      </c>
      <c r="N83" s="28">
        <v>16</v>
      </c>
      <c r="O83" s="28">
        <v>17</v>
      </c>
      <c r="P83" s="28">
        <v>18</v>
      </c>
      <c r="Q83" s="28">
        <v>19</v>
      </c>
      <c r="R83" s="29">
        <v>20</v>
      </c>
    </row>
    <row r="84" spans="1:18" x14ac:dyDescent="0.25">
      <c r="A84" s="30">
        <v>128</v>
      </c>
      <c r="B84" s="31">
        <v>2.043000000000001</v>
      </c>
      <c r="C84" s="31">
        <v>2.043000000000001</v>
      </c>
      <c r="D84" s="31">
        <v>2.043000000000001</v>
      </c>
      <c r="E84" s="31">
        <v>2.0430000000000001</v>
      </c>
      <c r="F84" s="31">
        <v>2.0430000000000001</v>
      </c>
      <c r="G84" s="31">
        <v>1.7565</v>
      </c>
      <c r="H84" s="31">
        <v>1.47</v>
      </c>
      <c r="I84" s="31">
        <v>1.3440000000000001</v>
      </c>
      <c r="J84" s="31">
        <v>1.1870000000000009</v>
      </c>
      <c r="K84" s="31">
        <v>1.069</v>
      </c>
      <c r="L84" s="31">
        <v>0.96099999999999997</v>
      </c>
      <c r="M84" s="31">
        <v>0.90400000000000058</v>
      </c>
      <c r="N84" s="31">
        <v>0.83300000000000018</v>
      </c>
      <c r="O84" s="31">
        <v>0.78000000000000036</v>
      </c>
      <c r="P84" s="31">
        <v>0.76000000000000056</v>
      </c>
      <c r="Q84" s="31">
        <v>0.76</v>
      </c>
      <c r="R84" s="32">
        <v>0.76000000000000023</v>
      </c>
    </row>
    <row r="85" spans="1:18" x14ac:dyDescent="0.25">
      <c r="A85" s="30">
        <v>148</v>
      </c>
      <c r="B85" s="31">
        <v>2.0430000000000001</v>
      </c>
      <c r="C85" s="31">
        <v>2.043000000000001</v>
      </c>
      <c r="D85" s="31">
        <v>2.043000000000001</v>
      </c>
      <c r="E85" s="31">
        <v>2.0430000000000001</v>
      </c>
      <c r="F85" s="31">
        <v>2.0430000000000001</v>
      </c>
      <c r="G85" s="31">
        <v>1.7565</v>
      </c>
      <c r="H85" s="31">
        <v>1.47</v>
      </c>
      <c r="I85" s="31">
        <v>1.3440000000000001</v>
      </c>
      <c r="J85" s="31">
        <v>1.1870000000000009</v>
      </c>
      <c r="K85" s="31">
        <v>1.069</v>
      </c>
      <c r="L85" s="31">
        <v>0.96100000000000008</v>
      </c>
      <c r="M85" s="31">
        <v>0.90400000000000069</v>
      </c>
      <c r="N85" s="31">
        <v>0.8330000000000003</v>
      </c>
      <c r="O85" s="31">
        <v>0.78000000000000014</v>
      </c>
      <c r="P85" s="31">
        <v>0.76000000000000012</v>
      </c>
      <c r="Q85" s="31">
        <v>0.75999999999999979</v>
      </c>
      <c r="R85" s="32">
        <v>0.76000000000000023</v>
      </c>
    </row>
    <row r="86" spans="1:18" x14ac:dyDescent="0.25">
      <c r="A86" s="30">
        <v>168</v>
      </c>
      <c r="B86" s="31">
        <v>2.043000000000001</v>
      </c>
      <c r="C86" s="31">
        <v>2.043000000000001</v>
      </c>
      <c r="D86" s="31">
        <v>2.043000000000001</v>
      </c>
      <c r="E86" s="31">
        <v>2.0430000000000001</v>
      </c>
      <c r="F86" s="31">
        <v>2.0430000000000001</v>
      </c>
      <c r="G86" s="31">
        <v>1.7565</v>
      </c>
      <c r="H86" s="31">
        <v>1.47</v>
      </c>
      <c r="I86" s="31">
        <v>1.3440000000000001</v>
      </c>
      <c r="J86" s="31">
        <v>1.1870000000000001</v>
      </c>
      <c r="K86" s="31">
        <v>1.069</v>
      </c>
      <c r="L86" s="31">
        <v>0.96099999999999997</v>
      </c>
      <c r="M86" s="31">
        <v>0.90400000000000058</v>
      </c>
      <c r="N86" s="31">
        <v>0.83300000000000007</v>
      </c>
      <c r="O86" s="31">
        <v>0.78000000000000014</v>
      </c>
      <c r="P86" s="31">
        <v>0.76000000000000023</v>
      </c>
      <c r="Q86" s="31">
        <v>0.76</v>
      </c>
      <c r="R86" s="32">
        <v>0.76</v>
      </c>
    </row>
    <row r="87" spans="1:18" x14ac:dyDescent="0.25">
      <c r="A87" s="30">
        <v>188</v>
      </c>
      <c r="B87" s="31">
        <v>2.043000000000001</v>
      </c>
      <c r="C87" s="31">
        <v>2.0430000000000001</v>
      </c>
      <c r="D87" s="31">
        <v>2.0430000000000001</v>
      </c>
      <c r="E87" s="31">
        <v>2.0429999999999988</v>
      </c>
      <c r="F87" s="31">
        <v>2.0430000000000001</v>
      </c>
      <c r="G87" s="31">
        <v>1.7565</v>
      </c>
      <c r="H87" s="31">
        <v>1.47</v>
      </c>
      <c r="I87" s="31">
        <v>1.3440000000000001</v>
      </c>
      <c r="J87" s="31">
        <v>1.1870000000000001</v>
      </c>
      <c r="K87" s="31">
        <v>1.069</v>
      </c>
      <c r="L87" s="31">
        <v>0.96099999999999997</v>
      </c>
      <c r="M87" s="31">
        <v>0.90400000000000058</v>
      </c>
      <c r="N87" s="31">
        <v>0.83300000000000018</v>
      </c>
      <c r="O87" s="31">
        <v>0.78000000000000014</v>
      </c>
      <c r="P87" s="31">
        <v>0.76000000000000023</v>
      </c>
      <c r="Q87" s="31">
        <v>0.75999999999999979</v>
      </c>
      <c r="R87" s="32">
        <v>0.76</v>
      </c>
    </row>
    <row r="88" spans="1:18" x14ac:dyDescent="0.25">
      <c r="A88" s="30">
        <v>208</v>
      </c>
      <c r="B88" s="31">
        <v>2.061160000000001</v>
      </c>
      <c r="C88" s="31">
        <v>2.0611600000000001</v>
      </c>
      <c r="D88" s="31">
        <v>2.0611600000000001</v>
      </c>
      <c r="E88" s="31">
        <v>2.0611600000000001</v>
      </c>
      <c r="F88" s="31">
        <v>2.0611600000000001</v>
      </c>
      <c r="G88" s="31">
        <v>1.7685799999999989</v>
      </c>
      <c r="H88" s="31">
        <v>1.476</v>
      </c>
      <c r="I88" s="31">
        <v>1.3480799999999999</v>
      </c>
      <c r="J88" s="31">
        <v>1.19076</v>
      </c>
      <c r="K88" s="31">
        <v>1.0736399999999999</v>
      </c>
      <c r="L88" s="31">
        <v>0.96411999999999998</v>
      </c>
      <c r="M88" s="31">
        <v>0.90576000000000012</v>
      </c>
      <c r="N88" s="31">
        <v>0.83451999999999993</v>
      </c>
      <c r="O88" s="31">
        <v>0.78160000000000018</v>
      </c>
      <c r="P88" s="31">
        <v>0.76127999999999985</v>
      </c>
      <c r="Q88" s="31">
        <v>0.76127999999999962</v>
      </c>
      <c r="R88" s="32">
        <v>0.76127999999999996</v>
      </c>
    </row>
    <row r="89" spans="1:18" x14ac:dyDescent="0.25">
      <c r="A89" s="30">
        <v>228</v>
      </c>
      <c r="B89" s="31">
        <v>2.10656</v>
      </c>
      <c r="C89" s="31">
        <v>2.1065599999999991</v>
      </c>
      <c r="D89" s="31">
        <v>2.1065599999999991</v>
      </c>
      <c r="E89" s="31">
        <v>2.10656</v>
      </c>
      <c r="F89" s="31">
        <v>2.10656</v>
      </c>
      <c r="G89" s="31">
        <v>1.7987799999999989</v>
      </c>
      <c r="H89" s="31">
        <v>1.4910000000000001</v>
      </c>
      <c r="I89" s="31">
        <v>1.3582799999999999</v>
      </c>
      <c r="J89" s="31">
        <v>1.2001599999999999</v>
      </c>
      <c r="K89" s="31">
        <v>1.08524</v>
      </c>
      <c r="L89" s="31">
        <v>0.97192000000000001</v>
      </c>
      <c r="M89" s="31">
        <v>0.9101600000000003</v>
      </c>
      <c r="N89" s="31">
        <v>0.83831999999999973</v>
      </c>
      <c r="O89" s="31">
        <v>0.78559999999999985</v>
      </c>
      <c r="P89" s="31">
        <v>0.76447999999999994</v>
      </c>
      <c r="Q89" s="31">
        <v>0.7644799999999996</v>
      </c>
      <c r="R89" s="32">
        <v>0.76447999999999983</v>
      </c>
    </row>
    <row r="90" spans="1:18" x14ac:dyDescent="0.25">
      <c r="A90" s="30">
        <v>248</v>
      </c>
      <c r="B90" s="31">
        <v>2.1519599999999999</v>
      </c>
      <c r="C90" s="31">
        <v>2.1519600000000012</v>
      </c>
      <c r="D90" s="31">
        <v>2.1519599999999999</v>
      </c>
      <c r="E90" s="31">
        <v>2.1519600000000012</v>
      </c>
      <c r="F90" s="31">
        <v>2.1519599999999999</v>
      </c>
      <c r="G90" s="31">
        <v>1.8289800000000001</v>
      </c>
      <c r="H90" s="31">
        <v>1.506</v>
      </c>
      <c r="I90" s="31">
        <v>1.3684799999999999</v>
      </c>
      <c r="J90" s="31">
        <v>1.20956</v>
      </c>
      <c r="K90" s="31">
        <v>1.09684</v>
      </c>
      <c r="L90" s="31">
        <v>0.97971999999999992</v>
      </c>
      <c r="M90" s="31">
        <v>0.91456000000000037</v>
      </c>
      <c r="N90" s="31">
        <v>0.84212000000000009</v>
      </c>
      <c r="O90" s="31">
        <v>0.78960000000000041</v>
      </c>
      <c r="P90" s="31">
        <v>0.76768000000000014</v>
      </c>
      <c r="Q90" s="31">
        <v>0.76768000000000003</v>
      </c>
      <c r="R90" s="32">
        <v>0.76768000000000003</v>
      </c>
    </row>
    <row r="91" spans="1:18" x14ac:dyDescent="0.25">
      <c r="A91" s="30">
        <v>268</v>
      </c>
      <c r="B91" s="31">
        <v>2.1973600000000011</v>
      </c>
      <c r="C91" s="31">
        <v>2.1973600000000011</v>
      </c>
      <c r="D91" s="31">
        <v>2.1973600000000002</v>
      </c>
      <c r="E91" s="31">
        <v>2.1973600000000002</v>
      </c>
      <c r="F91" s="31">
        <v>2.1973599999999989</v>
      </c>
      <c r="G91" s="31">
        <v>1.8591799999999989</v>
      </c>
      <c r="H91" s="31">
        <v>1.5209999999999999</v>
      </c>
      <c r="I91" s="31">
        <v>1.3786799999999999</v>
      </c>
      <c r="J91" s="31">
        <v>1.21896</v>
      </c>
      <c r="K91" s="31">
        <v>1.1084400000000001</v>
      </c>
      <c r="L91" s="31">
        <v>0.98752000000000006</v>
      </c>
      <c r="M91" s="31">
        <v>0.91896000000000011</v>
      </c>
      <c r="N91" s="31">
        <v>0.84591999999999989</v>
      </c>
      <c r="O91" s="31">
        <v>0.79360000000000031</v>
      </c>
      <c r="P91" s="31">
        <v>0.77088000000000001</v>
      </c>
      <c r="Q91" s="31">
        <v>0.77087999999999968</v>
      </c>
      <c r="R91" s="32">
        <v>0.7708799999999999</v>
      </c>
    </row>
    <row r="92" spans="1:18" x14ac:dyDescent="0.25">
      <c r="A92" s="30">
        <v>288</v>
      </c>
      <c r="B92" s="31">
        <v>2.242760000000001</v>
      </c>
      <c r="C92" s="31">
        <v>2.242760000000001</v>
      </c>
      <c r="D92" s="31">
        <v>2.242760000000001</v>
      </c>
      <c r="E92" s="31">
        <v>2.2427600000000001</v>
      </c>
      <c r="F92" s="31">
        <v>2.2427600000000001</v>
      </c>
      <c r="G92" s="31">
        <v>1.8893799999999989</v>
      </c>
      <c r="H92" s="31">
        <v>1.536</v>
      </c>
      <c r="I92" s="31">
        <v>1.3888799999999999</v>
      </c>
      <c r="J92" s="31">
        <v>1.2283599999999999</v>
      </c>
      <c r="K92" s="31">
        <v>1.1200399999999999</v>
      </c>
      <c r="L92" s="31">
        <v>0.99532000000000009</v>
      </c>
      <c r="M92" s="31">
        <v>0.92336000000000018</v>
      </c>
      <c r="N92" s="31">
        <v>0.84971999999999992</v>
      </c>
      <c r="O92" s="31">
        <v>0.79760000000000053</v>
      </c>
      <c r="P92" s="31">
        <v>0.7740800000000001</v>
      </c>
      <c r="Q92" s="31">
        <v>0.77407999999999999</v>
      </c>
      <c r="R92" s="32">
        <v>0.77408000000000021</v>
      </c>
    </row>
    <row r="93" spans="1:18" x14ac:dyDescent="0.25">
      <c r="A93" s="30">
        <v>308</v>
      </c>
      <c r="B93" s="31">
        <v>2.2851200000000009</v>
      </c>
      <c r="C93" s="31">
        <v>2.28512</v>
      </c>
      <c r="D93" s="31">
        <v>2.28512</v>
      </c>
      <c r="E93" s="31">
        <v>2.28512</v>
      </c>
      <c r="F93" s="31">
        <v>2.28512</v>
      </c>
      <c r="G93" s="31">
        <v>1.92086</v>
      </c>
      <c r="H93" s="31">
        <v>1.5566</v>
      </c>
      <c r="I93" s="31">
        <v>1.4006799999999999</v>
      </c>
      <c r="J93" s="31">
        <v>1.23848</v>
      </c>
      <c r="K93" s="31">
        <v>1.13188</v>
      </c>
      <c r="L93" s="31">
        <v>1.0056</v>
      </c>
      <c r="M93" s="31">
        <v>0.93016000000000032</v>
      </c>
      <c r="N93" s="31">
        <v>0.85512000000000021</v>
      </c>
      <c r="O93" s="31">
        <v>0.80336000000000041</v>
      </c>
      <c r="P93" s="31">
        <v>0.77920000000000034</v>
      </c>
      <c r="Q93" s="31">
        <v>0.7792</v>
      </c>
      <c r="R93" s="32">
        <v>0.77920000000000011</v>
      </c>
    </row>
    <row r="94" spans="1:18" x14ac:dyDescent="0.25">
      <c r="A94" s="30">
        <v>328</v>
      </c>
      <c r="B94" s="31">
        <v>2.3229199999999999</v>
      </c>
      <c r="C94" s="31">
        <v>2.3229199999999999</v>
      </c>
      <c r="D94" s="31">
        <v>2.3229199999999999</v>
      </c>
      <c r="E94" s="31">
        <v>2.3229199999999999</v>
      </c>
      <c r="F94" s="31">
        <v>2.322919999999999</v>
      </c>
      <c r="G94" s="31">
        <v>1.954259999999999</v>
      </c>
      <c r="H94" s="31">
        <v>1.5855999999999999</v>
      </c>
      <c r="I94" s="31">
        <v>1.4148799999999999</v>
      </c>
      <c r="J94" s="31">
        <v>1.2496799999999999</v>
      </c>
      <c r="K94" s="31">
        <v>1.14408</v>
      </c>
      <c r="L94" s="31">
        <v>1.0196000000000001</v>
      </c>
      <c r="M94" s="31">
        <v>0.94056000000000028</v>
      </c>
      <c r="N94" s="31">
        <v>0.86292000000000013</v>
      </c>
      <c r="O94" s="31">
        <v>0.81176000000000048</v>
      </c>
      <c r="P94" s="31">
        <v>0.78720000000000012</v>
      </c>
      <c r="Q94" s="31">
        <v>0.78720000000000023</v>
      </c>
      <c r="R94" s="32">
        <v>0.78720000000000012</v>
      </c>
    </row>
    <row r="95" spans="1:18" x14ac:dyDescent="0.25">
      <c r="A95" s="30">
        <v>348</v>
      </c>
      <c r="B95" s="31">
        <v>2.360720000000001</v>
      </c>
      <c r="C95" s="31">
        <v>2.3607200000000002</v>
      </c>
      <c r="D95" s="31">
        <v>2.3607200000000002</v>
      </c>
      <c r="E95" s="31">
        <v>2.360720000000001</v>
      </c>
      <c r="F95" s="31">
        <v>2.3607200000000002</v>
      </c>
      <c r="G95" s="31">
        <v>1.98766</v>
      </c>
      <c r="H95" s="31">
        <v>1.6146000000000009</v>
      </c>
      <c r="I95" s="31">
        <v>1.4290799999999999</v>
      </c>
      <c r="J95" s="31">
        <v>1.2608800000000011</v>
      </c>
      <c r="K95" s="31">
        <v>1.15628</v>
      </c>
      <c r="L95" s="31">
        <v>1.0336000000000001</v>
      </c>
      <c r="M95" s="31">
        <v>0.95096000000000014</v>
      </c>
      <c r="N95" s="31">
        <v>0.87072000000000005</v>
      </c>
      <c r="O95" s="31">
        <v>0.82016000000000033</v>
      </c>
      <c r="P95" s="31">
        <v>0.79520000000000046</v>
      </c>
      <c r="Q95" s="31">
        <v>0.79520000000000024</v>
      </c>
      <c r="R95" s="32">
        <v>0.79520000000000024</v>
      </c>
    </row>
    <row r="96" spans="1:18" x14ac:dyDescent="0.25">
      <c r="A96" s="30">
        <v>368</v>
      </c>
      <c r="B96" s="31">
        <v>2.3985200000000009</v>
      </c>
      <c r="C96" s="31">
        <v>2.39852</v>
      </c>
      <c r="D96" s="31">
        <v>2.3985200000000009</v>
      </c>
      <c r="E96" s="31">
        <v>2.3985200000000009</v>
      </c>
      <c r="F96" s="31">
        <v>2.39852</v>
      </c>
      <c r="G96" s="31">
        <v>2.021059999999999</v>
      </c>
      <c r="H96" s="31">
        <v>1.6435999999999999</v>
      </c>
      <c r="I96" s="31">
        <v>1.4432799999999999</v>
      </c>
      <c r="J96" s="31">
        <v>1.2720800000000001</v>
      </c>
      <c r="K96" s="31">
        <v>1.16848</v>
      </c>
      <c r="L96" s="31">
        <v>1.047600000000001</v>
      </c>
      <c r="M96" s="31">
        <v>0.96136000000000021</v>
      </c>
      <c r="N96" s="31">
        <v>0.87852000000000041</v>
      </c>
      <c r="O96" s="31">
        <v>0.8285600000000003</v>
      </c>
      <c r="P96" s="31">
        <v>0.80320000000000014</v>
      </c>
      <c r="Q96" s="31">
        <v>0.80320000000000014</v>
      </c>
      <c r="R96" s="32">
        <v>0.80319999999999991</v>
      </c>
    </row>
    <row r="97" spans="1:18" x14ac:dyDescent="0.25">
      <c r="A97" s="30">
        <v>388</v>
      </c>
      <c r="B97" s="31">
        <v>2.4363199999999998</v>
      </c>
      <c r="C97" s="31">
        <v>2.4363199999999998</v>
      </c>
      <c r="D97" s="31">
        <v>2.4363199999999998</v>
      </c>
      <c r="E97" s="31">
        <v>2.4363199999999998</v>
      </c>
      <c r="F97" s="31">
        <v>2.4363199999999989</v>
      </c>
      <c r="G97" s="31">
        <v>2.0544599999999988</v>
      </c>
      <c r="H97" s="31">
        <v>1.6726000000000001</v>
      </c>
      <c r="I97" s="31">
        <v>1.4574800000000001</v>
      </c>
      <c r="J97" s="31">
        <v>1.28328</v>
      </c>
      <c r="K97" s="31">
        <v>1.18068</v>
      </c>
      <c r="L97" s="31">
        <v>1.061600000000001</v>
      </c>
      <c r="M97" s="31">
        <v>0.97175999999999985</v>
      </c>
      <c r="N97" s="31">
        <v>0.88632000000000022</v>
      </c>
      <c r="O97" s="31">
        <v>0.83696000000000026</v>
      </c>
      <c r="P97" s="31">
        <v>0.81120000000000003</v>
      </c>
      <c r="Q97" s="31">
        <v>0.81119999999999981</v>
      </c>
      <c r="R97" s="32">
        <v>0.81119999999999992</v>
      </c>
    </row>
    <row r="98" spans="1:18" x14ac:dyDescent="0.25">
      <c r="A98" s="30">
        <v>408</v>
      </c>
      <c r="B98" s="31">
        <v>2.478120000000001</v>
      </c>
      <c r="C98" s="31">
        <v>2.4781200000000001</v>
      </c>
      <c r="D98" s="31">
        <v>2.478120000000001</v>
      </c>
      <c r="E98" s="31">
        <v>2.4781200000000001</v>
      </c>
      <c r="F98" s="31">
        <v>2.4781200000000001</v>
      </c>
      <c r="G98" s="31">
        <v>2.0876199999999998</v>
      </c>
      <c r="H98" s="31">
        <v>1.69712</v>
      </c>
      <c r="I98" s="31">
        <v>1.47672</v>
      </c>
      <c r="J98" s="31">
        <v>1.2951999999999999</v>
      </c>
      <c r="K98" s="31">
        <v>1.1925600000000001</v>
      </c>
      <c r="L98" s="31">
        <v>1.0764</v>
      </c>
      <c r="M98" s="31">
        <v>0.98424000000000034</v>
      </c>
      <c r="N98" s="31">
        <v>0.89588000000000012</v>
      </c>
      <c r="O98" s="31">
        <v>0.84576000000000018</v>
      </c>
      <c r="P98" s="31">
        <v>0.81976000000000004</v>
      </c>
      <c r="Q98" s="31">
        <v>0.81975999999999982</v>
      </c>
      <c r="R98" s="32">
        <v>0.81976000000000004</v>
      </c>
    </row>
    <row r="99" spans="1:18" x14ac:dyDescent="0.25">
      <c r="A99" s="30">
        <v>428</v>
      </c>
      <c r="B99" s="31">
        <v>2.5259200000000011</v>
      </c>
      <c r="C99" s="31">
        <v>2.5259200000000011</v>
      </c>
      <c r="D99" s="31">
        <v>2.5259200000000011</v>
      </c>
      <c r="E99" s="31">
        <v>2.5259199999999988</v>
      </c>
      <c r="F99" s="31">
        <v>2.5259200000000002</v>
      </c>
      <c r="G99" s="31">
        <v>2.1204200000000002</v>
      </c>
      <c r="H99" s="31">
        <v>1.7149199999999989</v>
      </c>
      <c r="I99" s="31">
        <v>1.50352</v>
      </c>
      <c r="J99" s="31">
        <v>1.3082</v>
      </c>
      <c r="K99" s="31">
        <v>1.2039599999999999</v>
      </c>
      <c r="L99" s="31">
        <v>1.0924</v>
      </c>
      <c r="M99" s="31">
        <v>0.99984000000000028</v>
      </c>
      <c r="N99" s="31">
        <v>0.90808</v>
      </c>
      <c r="O99" s="31">
        <v>0.85516000000000025</v>
      </c>
      <c r="P99" s="31">
        <v>0.82916000000000034</v>
      </c>
      <c r="Q99" s="31">
        <v>0.82916000000000012</v>
      </c>
      <c r="R99" s="32">
        <v>0.82916000000000012</v>
      </c>
    </row>
    <row r="100" spans="1:18" x14ac:dyDescent="0.25">
      <c r="A100" s="30">
        <v>448</v>
      </c>
      <c r="B100" s="31">
        <v>2.5737200000000011</v>
      </c>
      <c r="C100" s="31">
        <v>2.5737199999999998</v>
      </c>
      <c r="D100" s="31">
        <v>2.5737200000000011</v>
      </c>
      <c r="E100" s="31">
        <v>2.5737199999999989</v>
      </c>
      <c r="F100" s="31">
        <v>2.5737199999999989</v>
      </c>
      <c r="G100" s="31">
        <v>2.1532200000000001</v>
      </c>
      <c r="H100" s="31">
        <v>1.73272</v>
      </c>
      <c r="I100" s="31">
        <v>1.5303199999999999</v>
      </c>
      <c r="J100" s="31">
        <v>1.321200000000001</v>
      </c>
      <c r="K100" s="31">
        <v>1.21536</v>
      </c>
      <c r="L100" s="31">
        <v>1.1084000000000001</v>
      </c>
      <c r="M100" s="31">
        <v>1.0154399999999999</v>
      </c>
      <c r="N100" s="31">
        <v>0.92027999999999988</v>
      </c>
      <c r="O100" s="31">
        <v>0.86456000000000011</v>
      </c>
      <c r="P100" s="31">
        <v>0.83856000000000008</v>
      </c>
      <c r="Q100" s="31">
        <v>0.83855999999999997</v>
      </c>
      <c r="R100" s="32">
        <v>0.83855999999999997</v>
      </c>
    </row>
    <row r="101" spans="1:18" x14ac:dyDescent="0.25">
      <c r="A101" s="30">
        <v>468</v>
      </c>
      <c r="B101" s="31">
        <v>2.6215200000000012</v>
      </c>
      <c r="C101" s="31">
        <v>2.6215199999999999</v>
      </c>
      <c r="D101" s="31">
        <v>2.6215199999999999</v>
      </c>
      <c r="E101" s="31">
        <v>2.6215199999999999</v>
      </c>
      <c r="F101" s="31">
        <v>2.621519999999999</v>
      </c>
      <c r="G101" s="31">
        <v>2.1860199999999992</v>
      </c>
      <c r="H101" s="31">
        <v>1.7505200000000001</v>
      </c>
      <c r="I101" s="31">
        <v>1.5571200000000001</v>
      </c>
      <c r="J101" s="31">
        <v>1.3342000000000001</v>
      </c>
      <c r="K101" s="31">
        <v>1.2267600000000001</v>
      </c>
      <c r="L101" s="31">
        <v>1.1244000000000001</v>
      </c>
      <c r="M101" s="31">
        <v>1.03104</v>
      </c>
      <c r="N101" s="31">
        <v>0.93247999999999986</v>
      </c>
      <c r="O101" s="31">
        <v>0.87395999999999996</v>
      </c>
      <c r="P101" s="31">
        <v>0.84796000000000005</v>
      </c>
      <c r="Q101" s="31">
        <v>0.8479599999999996</v>
      </c>
      <c r="R101" s="32">
        <v>0.84796000000000005</v>
      </c>
    </row>
    <row r="102" spans="1:18" x14ac:dyDescent="0.25">
      <c r="A102" s="30">
        <v>488</v>
      </c>
      <c r="B102" s="31">
        <v>2.6693199999999999</v>
      </c>
      <c r="C102" s="31">
        <v>2.6693199999999999</v>
      </c>
      <c r="D102" s="31">
        <v>2.6693199999999999</v>
      </c>
      <c r="E102" s="31">
        <v>2.669319999999999</v>
      </c>
      <c r="F102" s="31">
        <v>2.669319999999999</v>
      </c>
      <c r="G102" s="31">
        <v>2.21882</v>
      </c>
      <c r="H102" s="31">
        <v>1.768319999999999</v>
      </c>
      <c r="I102" s="31">
        <v>1.58392</v>
      </c>
      <c r="J102" s="31">
        <v>1.3472</v>
      </c>
      <c r="K102" s="31">
        <v>1.2381599999999999</v>
      </c>
      <c r="L102" s="31">
        <v>1.1404000000000001</v>
      </c>
      <c r="M102" s="31">
        <v>1.04664</v>
      </c>
      <c r="N102" s="31">
        <v>0.94467999999999996</v>
      </c>
      <c r="O102" s="31">
        <v>0.88336000000000037</v>
      </c>
      <c r="P102" s="31">
        <v>0.85736000000000001</v>
      </c>
      <c r="Q102" s="31">
        <v>0.85735999999999979</v>
      </c>
      <c r="R102" s="32">
        <v>0.85735999999999979</v>
      </c>
    </row>
    <row r="103" spans="1:18" x14ac:dyDescent="0.25">
      <c r="A103" s="30">
        <v>508</v>
      </c>
      <c r="B103" s="31">
        <v>2.7250399999999999</v>
      </c>
      <c r="C103" s="31">
        <v>2.7250399999999999</v>
      </c>
      <c r="D103" s="31">
        <v>2.7250399999999999</v>
      </c>
      <c r="E103" s="31">
        <v>2.725039999999999</v>
      </c>
      <c r="F103" s="31">
        <v>2.725039999999999</v>
      </c>
      <c r="G103" s="31">
        <v>2.2572199999999989</v>
      </c>
      <c r="H103" s="31">
        <v>1.7894000000000001</v>
      </c>
      <c r="I103" s="31">
        <v>1.6097600000000001</v>
      </c>
      <c r="J103" s="31">
        <v>1.36388</v>
      </c>
      <c r="K103" s="31">
        <v>1.25156</v>
      </c>
      <c r="L103" s="31">
        <v>1.1535200000000001</v>
      </c>
      <c r="M103" s="31">
        <v>1.06088</v>
      </c>
      <c r="N103" s="31">
        <v>0.95752000000000004</v>
      </c>
      <c r="O103" s="31">
        <v>0.89372000000000007</v>
      </c>
      <c r="P103" s="31">
        <v>0.86715999999999982</v>
      </c>
      <c r="Q103" s="31">
        <v>0.8671599999999996</v>
      </c>
      <c r="R103" s="32">
        <v>0.86715999999999982</v>
      </c>
    </row>
    <row r="104" spans="1:18" x14ac:dyDescent="0.25">
      <c r="A104" s="30">
        <v>528</v>
      </c>
      <c r="B104" s="31">
        <v>2.7926400000000009</v>
      </c>
      <c r="C104" s="31">
        <v>2.79264</v>
      </c>
      <c r="D104" s="31">
        <v>2.79264</v>
      </c>
      <c r="E104" s="31">
        <v>2.7926399999999991</v>
      </c>
      <c r="F104" s="31">
        <v>2.79264</v>
      </c>
      <c r="G104" s="31">
        <v>2.30402</v>
      </c>
      <c r="H104" s="31">
        <v>1.8153999999999999</v>
      </c>
      <c r="I104" s="31">
        <v>1.6341600000000001</v>
      </c>
      <c r="J104" s="31">
        <v>1.38608</v>
      </c>
      <c r="K104" s="31">
        <v>1.26796</v>
      </c>
      <c r="L104" s="31">
        <v>1.16232</v>
      </c>
      <c r="M104" s="31">
        <v>1.07308</v>
      </c>
      <c r="N104" s="31">
        <v>0.97132000000000018</v>
      </c>
      <c r="O104" s="31">
        <v>0.90552000000000021</v>
      </c>
      <c r="P104" s="31">
        <v>0.8775599999999999</v>
      </c>
      <c r="Q104" s="31">
        <v>0.87755999999999978</v>
      </c>
      <c r="R104" s="32">
        <v>0.8775599999999999</v>
      </c>
    </row>
    <row r="105" spans="1:18" x14ac:dyDescent="0.25">
      <c r="A105" s="30">
        <v>548</v>
      </c>
      <c r="B105" s="31">
        <v>2.860240000000001</v>
      </c>
      <c r="C105" s="31">
        <v>2.860240000000001</v>
      </c>
      <c r="D105" s="31">
        <v>2.8602399999999988</v>
      </c>
      <c r="E105" s="31">
        <v>2.8602400000000001</v>
      </c>
      <c r="F105" s="31">
        <v>2.8602399999999988</v>
      </c>
      <c r="G105" s="31">
        <v>2.3508200000000001</v>
      </c>
      <c r="H105" s="31">
        <v>1.8413999999999999</v>
      </c>
      <c r="I105" s="31">
        <v>1.65856</v>
      </c>
      <c r="J105" s="31">
        <v>1.40828</v>
      </c>
      <c r="K105" s="31">
        <v>1.2843599999999999</v>
      </c>
      <c r="L105" s="31">
        <v>1.1711199999999999</v>
      </c>
      <c r="M105" s="31">
        <v>1.08528</v>
      </c>
      <c r="N105" s="31">
        <v>0.98512</v>
      </c>
      <c r="O105" s="31">
        <v>0.91732000000000014</v>
      </c>
      <c r="P105" s="31">
        <v>0.88795999999999997</v>
      </c>
      <c r="Q105" s="31">
        <v>0.88796000000000019</v>
      </c>
      <c r="R105" s="32">
        <v>0.88795999999999986</v>
      </c>
    </row>
    <row r="106" spans="1:18" x14ac:dyDescent="0.25">
      <c r="A106" s="30">
        <v>568</v>
      </c>
      <c r="B106" s="31">
        <v>2.9278400000000011</v>
      </c>
      <c r="C106" s="31">
        <v>2.9278400000000002</v>
      </c>
      <c r="D106" s="31">
        <v>2.9278400000000002</v>
      </c>
      <c r="E106" s="31">
        <v>2.9278399999999989</v>
      </c>
      <c r="F106" s="31">
        <v>2.9278399999999989</v>
      </c>
      <c r="G106" s="31">
        <v>2.397619999999999</v>
      </c>
      <c r="H106" s="31">
        <v>1.8673999999999999</v>
      </c>
      <c r="I106" s="31">
        <v>1.68296</v>
      </c>
      <c r="J106" s="31">
        <v>1.43048</v>
      </c>
      <c r="K106" s="31">
        <v>1.3007599999999999</v>
      </c>
      <c r="L106" s="31">
        <v>1.1799200000000001</v>
      </c>
      <c r="M106" s="31">
        <v>1.09748</v>
      </c>
      <c r="N106" s="31">
        <v>0.99892000000000003</v>
      </c>
      <c r="O106" s="31">
        <v>0.92912000000000039</v>
      </c>
      <c r="P106" s="31">
        <v>0.89835999999999983</v>
      </c>
      <c r="Q106" s="31">
        <v>0.89835999999999983</v>
      </c>
      <c r="R106" s="32">
        <v>0.89835999999999983</v>
      </c>
    </row>
    <row r="107" spans="1:18" x14ac:dyDescent="0.25">
      <c r="A107" s="30">
        <v>588</v>
      </c>
      <c r="B107" s="31">
        <v>2.9954400000000012</v>
      </c>
      <c r="C107" s="31">
        <v>2.9954400000000012</v>
      </c>
      <c r="D107" s="31">
        <v>2.9954399999999999</v>
      </c>
      <c r="E107" s="31">
        <v>2.9954400000000012</v>
      </c>
      <c r="F107" s="31">
        <v>2.9954400000000012</v>
      </c>
      <c r="G107" s="31">
        <v>2.4444199999999991</v>
      </c>
      <c r="H107" s="31">
        <v>1.8934</v>
      </c>
      <c r="I107" s="31">
        <v>1.7073599999999991</v>
      </c>
      <c r="J107" s="31">
        <v>1.45268</v>
      </c>
      <c r="K107" s="31">
        <v>1.3171600000000001</v>
      </c>
      <c r="L107" s="31">
        <v>1.18872</v>
      </c>
      <c r="M107" s="31">
        <v>1.1096800000000011</v>
      </c>
      <c r="N107" s="31">
        <v>1.0127200000000001</v>
      </c>
      <c r="O107" s="31">
        <v>0.94092000000000042</v>
      </c>
      <c r="P107" s="31">
        <v>0.90876000000000012</v>
      </c>
      <c r="Q107" s="31">
        <v>0.90875999999999979</v>
      </c>
      <c r="R107" s="32">
        <v>0.90876000000000023</v>
      </c>
    </row>
    <row r="108" spans="1:18" x14ac:dyDescent="0.25">
      <c r="A108" s="30">
        <v>608</v>
      </c>
      <c r="B108" s="31">
        <v>3.036</v>
      </c>
      <c r="C108" s="31">
        <v>3.036</v>
      </c>
      <c r="D108" s="31">
        <v>3.036</v>
      </c>
      <c r="E108" s="31">
        <v>3.036</v>
      </c>
      <c r="F108" s="31">
        <v>3.0359999999999991</v>
      </c>
      <c r="G108" s="31">
        <v>2.4724999999999988</v>
      </c>
      <c r="H108" s="31">
        <v>1.909</v>
      </c>
      <c r="I108" s="31">
        <v>1.722</v>
      </c>
      <c r="J108" s="31">
        <v>1.466</v>
      </c>
      <c r="K108" s="31">
        <v>1.327</v>
      </c>
      <c r="L108" s="31">
        <v>1.194</v>
      </c>
      <c r="M108" s="31">
        <v>1.117</v>
      </c>
      <c r="N108" s="31">
        <v>1.0209999999999999</v>
      </c>
      <c r="O108" s="31">
        <v>0.94800000000000018</v>
      </c>
      <c r="P108" s="31">
        <v>0.91500000000000015</v>
      </c>
      <c r="Q108" s="31">
        <v>0.91500000000000004</v>
      </c>
      <c r="R108" s="32">
        <v>0.91499999999999981</v>
      </c>
    </row>
    <row r="109" spans="1:18" x14ac:dyDescent="0.25">
      <c r="A109" s="30">
        <v>628</v>
      </c>
      <c r="B109" s="31">
        <v>3.036</v>
      </c>
      <c r="C109" s="31">
        <v>3.036</v>
      </c>
      <c r="D109" s="31">
        <v>3.036</v>
      </c>
      <c r="E109" s="31">
        <v>3.036</v>
      </c>
      <c r="F109" s="31">
        <v>3.0359999999999991</v>
      </c>
      <c r="G109" s="31">
        <v>2.4724999999999988</v>
      </c>
      <c r="H109" s="31">
        <v>1.909</v>
      </c>
      <c r="I109" s="31">
        <v>1.722</v>
      </c>
      <c r="J109" s="31">
        <v>1.466</v>
      </c>
      <c r="K109" s="31">
        <v>1.3270000000000011</v>
      </c>
      <c r="L109" s="31">
        <v>1.194</v>
      </c>
      <c r="M109" s="31">
        <v>1.117</v>
      </c>
      <c r="N109" s="31">
        <v>1.0209999999999999</v>
      </c>
      <c r="O109" s="31">
        <v>0.94800000000000018</v>
      </c>
      <c r="P109" s="31">
        <v>0.91500000000000004</v>
      </c>
      <c r="Q109" s="31">
        <v>0.9149999999999997</v>
      </c>
      <c r="R109" s="32">
        <v>0.91499999999999992</v>
      </c>
    </row>
    <row r="110" spans="1:18" x14ac:dyDescent="0.25">
      <c r="A110" s="30">
        <v>648</v>
      </c>
      <c r="B110" s="31">
        <v>3.036</v>
      </c>
      <c r="C110" s="31">
        <v>3.036</v>
      </c>
      <c r="D110" s="31">
        <v>3.036</v>
      </c>
      <c r="E110" s="31">
        <v>3.036</v>
      </c>
      <c r="F110" s="31">
        <v>3.036</v>
      </c>
      <c r="G110" s="31">
        <v>2.4724999999999988</v>
      </c>
      <c r="H110" s="31">
        <v>1.909</v>
      </c>
      <c r="I110" s="31">
        <v>1.722</v>
      </c>
      <c r="J110" s="31">
        <v>1.466</v>
      </c>
      <c r="K110" s="31">
        <v>1.327</v>
      </c>
      <c r="L110" s="31">
        <v>1.194</v>
      </c>
      <c r="M110" s="31">
        <v>1.117</v>
      </c>
      <c r="N110" s="31">
        <v>1.0209999999999999</v>
      </c>
      <c r="O110" s="31">
        <v>0.94800000000000029</v>
      </c>
      <c r="P110" s="31">
        <v>0.91499999999999992</v>
      </c>
      <c r="Q110" s="31">
        <v>0.91500000000000004</v>
      </c>
      <c r="R110" s="32">
        <v>0.91500000000000004</v>
      </c>
    </row>
    <row r="111" spans="1:18" x14ac:dyDescent="0.25">
      <c r="A111" s="30">
        <v>668</v>
      </c>
      <c r="B111" s="31">
        <v>3.036</v>
      </c>
      <c r="C111" s="31">
        <v>3.036</v>
      </c>
      <c r="D111" s="31">
        <v>3.036</v>
      </c>
      <c r="E111" s="31">
        <v>3.036</v>
      </c>
      <c r="F111" s="31">
        <v>3.0359999999999991</v>
      </c>
      <c r="G111" s="31">
        <v>2.4724999999999988</v>
      </c>
      <c r="H111" s="31">
        <v>1.909</v>
      </c>
      <c r="I111" s="31">
        <v>1.722</v>
      </c>
      <c r="J111" s="31">
        <v>1.466</v>
      </c>
      <c r="K111" s="31">
        <v>1.327</v>
      </c>
      <c r="L111" s="31">
        <v>1.194</v>
      </c>
      <c r="M111" s="31">
        <v>1.117</v>
      </c>
      <c r="N111" s="31">
        <v>1.0209999999999999</v>
      </c>
      <c r="O111" s="31">
        <v>0.9480000000000004</v>
      </c>
      <c r="P111" s="31">
        <v>0.91500000000000004</v>
      </c>
      <c r="Q111" s="31">
        <v>0.91499999999999992</v>
      </c>
      <c r="R111" s="32">
        <v>0.91499999999999992</v>
      </c>
    </row>
    <row r="112" spans="1:18" x14ac:dyDescent="0.25">
      <c r="A112" s="30">
        <v>688</v>
      </c>
      <c r="B112" s="31">
        <v>3.0360000000000009</v>
      </c>
      <c r="C112" s="31">
        <v>3.0359999999999991</v>
      </c>
      <c r="D112" s="31">
        <v>3.036</v>
      </c>
      <c r="E112" s="31">
        <v>3.036</v>
      </c>
      <c r="F112" s="31">
        <v>3.036</v>
      </c>
      <c r="G112" s="31">
        <v>2.4724999999999979</v>
      </c>
      <c r="H112" s="31">
        <v>1.909</v>
      </c>
      <c r="I112" s="31">
        <v>1.722</v>
      </c>
      <c r="J112" s="31">
        <v>1.466</v>
      </c>
      <c r="K112" s="31">
        <v>1.327</v>
      </c>
      <c r="L112" s="31">
        <v>1.194</v>
      </c>
      <c r="M112" s="31">
        <v>1.117</v>
      </c>
      <c r="N112" s="31">
        <v>1.0209999999999999</v>
      </c>
      <c r="O112" s="31">
        <v>0.94799999999999995</v>
      </c>
      <c r="P112" s="31">
        <v>0.91499999999999992</v>
      </c>
      <c r="Q112" s="31">
        <v>0.91499999999999981</v>
      </c>
      <c r="R112" s="32">
        <v>0.91499999999999992</v>
      </c>
    </row>
    <row r="113" spans="1:18" x14ac:dyDescent="0.25">
      <c r="A113" s="30">
        <v>708</v>
      </c>
      <c r="B113" s="31">
        <v>3.0360000000000018</v>
      </c>
      <c r="C113" s="31">
        <v>3.0360000000000009</v>
      </c>
      <c r="D113" s="31">
        <v>3.036</v>
      </c>
      <c r="E113" s="31">
        <v>3.036</v>
      </c>
      <c r="F113" s="31">
        <v>3.036</v>
      </c>
      <c r="G113" s="31">
        <v>2.4725000000000001</v>
      </c>
      <c r="H113" s="31">
        <v>1.9090000000000009</v>
      </c>
      <c r="I113" s="31">
        <v>1.722</v>
      </c>
      <c r="J113" s="31">
        <v>1.4660000000000011</v>
      </c>
      <c r="K113" s="31">
        <v>1.3270000000000011</v>
      </c>
      <c r="L113" s="31">
        <v>1.194</v>
      </c>
      <c r="M113" s="31">
        <v>1.1170000000000011</v>
      </c>
      <c r="N113" s="31">
        <v>1.0209999999999999</v>
      </c>
      <c r="O113" s="31">
        <v>0.9480000000000004</v>
      </c>
      <c r="P113" s="31">
        <v>0.91500000000000004</v>
      </c>
      <c r="Q113" s="31">
        <v>0.91500000000000015</v>
      </c>
      <c r="R113" s="32">
        <v>0.91500000000000026</v>
      </c>
    </row>
    <row r="114" spans="1:18" x14ac:dyDescent="0.25">
      <c r="A114" s="30">
        <v>728</v>
      </c>
      <c r="B114" s="31">
        <v>3.0360000000000009</v>
      </c>
      <c r="C114" s="31">
        <v>3.036</v>
      </c>
      <c r="D114" s="31">
        <v>3.036</v>
      </c>
      <c r="E114" s="31">
        <v>3.036</v>
      </c>
      <c r="F114" s="31">
        <v>3.036</v>
      </c>
      <c r="G114" s="31">
        <v>2.4725000000000001</v>
      </c>
      <c r="H114" s="31">
        <v>1.909</v>
      </c>
      <c r="I114" s="31">
        <v>1.722</v>
      </c>
      <c r="J114" s="31">
        <v>1.4660000000000011</v>
      </c>
      <c r="K114" s="31">
        <v>1.3270000000000011</v>
      </c>
      <c r="L114" s="31">
        <v>1.194</v>
      </c>
      <c r="M114" s="31">
        <v>1.117</v>
      </c>
      <c r="N114" s="31">
        <v>1.0209999999999999</v>
      </c>
      <c r="O114" s="31">
        <v>0.94800000000000018</v>
      </c>
      <c r="P114" s="31">
        <v>0.91500000000000004</v>
      </c>
      <c r="Q114" s="31">
        <v>0.91500000000000004</v>
      </c>
      <c r="R114" s="32">
        <v>0.91500000000000026</v>
      </c>
    </row>
    <row r="115" spans="1:18" x14ac:dyDescent="0.25">
      <c r="A115" s="30">
        <v>748</v>
      </c>
      <c r="B115" s="31">
        <v>3.0360000000000009</v>
      </c>
      <c r="C115" s="31">
        <v>3.036</v>
      </c>
      <c r="D115" s="31">
        <v>3.036</v>
      </c>
      <c r="E115" s="31">
        <v>3.036</v>
      </c>
      <c r="F115" s="31">
        <v>3.0359999999999991</v>
      </c>
      <c r="G115" s="31">
        <v>2.4725000000000001</v>
      </c>
      <c r="H115" s="31">
        <v>1.909</v>
      </c>
      <c r="I115" s="31">
        <v>1.722</v>
      </c>
      <c r="J115" s="31">
        <v>1.466</v>
      </c>
      <c r="K115" s="31">
        <v>1.327</v>
      </c>
      <c r="L115" s="31">
        <v>1.194</v>
      </c>
      <c r="M115" s="31">
        <v>1.117</v>
      </c>
      <c r="N115" s="31">
        <v>1.0209999999999999</v>
      </c>
      <c r="O115" s="31">
        <v>0.94799999999999984</v>
      </c>
      <c r="P115" s="31">
        <v>0.91500000000000004</v>
      </c>
      <c r="Q115" s="31">
        <v>0.91499999999999992</v>
      </c>
      <c r="R115" s="32">
        <v>0.91500000000000015</v>
      </c>
    </row>
    <row r="116" spans="1:18" x14ac:dyDescent="0.25">
      <c r="A116" s="33">
        <v>768</v>
      </c>
      <c r="B116" s="34">
        <v>3.036</v>
      </c>
      <c r="C116" s="34">
        <v>3.036</v>
      </c>
      <c r="D116" s="34">
        <v>3.036</v>
      </c>
      <c r="E116" s="34">
        <v>3.036</v>
      </c>
      <c r="F116" s="34">
        <v>3.0359999999999991</v>
      </c>
      <c r="G116" s="34">
        <v>2.4724999999999988</v>
      </c>
      <c r="H116" s="34">
        <v>1.909</v>
      </c>
      <c r="I116" s="34">
        <v>1.722</v>
      </c>
      <c r="J116" s="34">
        <v>1.466</v>
      </c>
      <c r="K116" s="34">
        <v>1.327</v>
      </c>
      <c r="L116" s="34">
        <v>1.194</v>
      </c>
      <c r="M116" s="34">
        <v>1.117</v>
      </c>
      <c r="N116" s="34">
        <v>1.0209999999999999</v>
      </c>
      <c r="O116" s="34">
        <v>0.94800000000000006</v>
      </c>
      <c r="P116" s="34">
        <v>0.91499999999999992</v>
      </c>
      <c r="Q116" s="34">
        <v>0.91499999999999992</v>
      </c>
      <c r="R116" s="35">
        <v>0.91500000000000004</v>
      </c>
    </row>
    <row r="119" spans="1:18" ht="28.9" customHeight="1" x14ac:dyDescent="0.5">
      <c r="A119" s="1" t="s">
        <v>32</v>
      </c>
    </row>
    <row r="120" spans="1:18" ht="32.1" customHeight="1" x14ac:dyDescent="0.25"/>
    <row r="121" spans="1:18" x14ac:dyDescent="0.25">
      <c r="A121" s="2"/>
      <c r="B121" s="3"/>
      <c r="C121" s="3"/>
      <c r="D121" s="4"/>
    </row>
    <row r="122" spans="1:18" x14ac:dyDescent="0.25">
      <c r="A122" s="5" t="s">
        <v>33</v>
      </c>
      <c r="B122" s="6">
        <v>1.375</v>
      </c>
      <c r="C122" s="6" t="s">
        <v>13</v>
      </c>
      <c r="D122" s="7"/>
    </row>
    <row r="123" spans="1:18" x14ac:dyDescent="0.25">
      <c r="A123" s="8"/>
      <c r="B123" s="9"/>
      <c r="C123" s="9"/>
      <c r="D123" s="10"/>
    </row>
    <row r="126" spans="1:18" ht="48" customHeight="1" x14ac:dyDescent="0.25">
      <c r="A126" s="21" t="s">
        <v>34</v>
      </c>
      <c r="B126" s="23" t="s">
        <v>35</v>
      </c>
    </row>
    <row r="127" spans="1:18" x14ac:dyDescent="0.25">
      <c r="A127" s="5">
        <v>0</v>
      </c>
      <c r="B127" s="32">
        <v>9.000000000000008E-2</v>
      </c>
    </row>
    <row r="128" spans="1:18" x14ac:dyDescent="0.25">
      <c r="A128" s="5">
        <v>0.125</v>
      </c>
      <c r="B128" s="32">
        <v>8.107738095238104E-2</v>
      </c>
    </row>
    <row r="129" spans="1:2" x14ac:dyDescent="0.25">
      <c r="A129" s="5">
        <v>0.25</v>
      </c>
      <c r="B129" s="32">
        <v>6.2541666666666718E-2</v>
      </c>
    </row>
    <row r="130" spans="1:2" x14ac:dyDescent="0.25">
      <c r="A130" s="5">
        <v>0.375</v>
      </c>
      <c r="B130" s="32">
        <v>1.6182777777777879E-2</v>
      </c>
    </row>
    <row r="131" spans="1:2" x14ac:dyDescent="0.25">
      <c r="A131" s="5">
        <v>0.5</v>
      </c>
      <c r="B131" s="32">
        <v>4.0166666666666462E-2</v>
      </c>
    </row>
    <row r="132" spans="1:2" x14ac:dyDescent="0.25">
      <c r="A132" s="5">
        <v>0.625</v>
      </c>
      <c r="B132" s="32">
        <v>4.5153333333333379E-2</v>
      </c>
    </row>
    <row r="133" spans="1:2" x14ac:dyDescent="0.25">
      <c r="A133" s="5">
        <v>0.75</v>
      </c>
      <c r="B133" s="32">
        <v>3.2625000000000133E-2</v>
      </c>
    </row>
    <row r="134" spans="1:2" x14ac:dyDescent="0.25">
      <c r="A134" s="5">
        <v>0.875</v>
      </c>
      <c r="B134" s="32">
        <v>2.7428333333333391E-2</v>
      </c>
    </row>
    <row r="135" spans="1:2" x14ac:dyDescent="0.25">
      <c r="A135" s="5">
        <v>1</v>
      </c>
      <c r="B135" s="32">
        <v>1.6777777777777999E-2</v>
      </c>
    </row>
    <row r="136" spans="1:2" x14ac:dyDescent="0.25">
      <c r="A136" s="5">
        <v>1.125</v>
      </c>
      <c r="B136" s="32">
        <v>2.8556111111110831E-2</v>
      </c>
    </row>
    <row r="137" spans="1:2" x14ac:dyDescent="0.25">
      <c r="A137" s="5">
        <v>1.25</v>
      </c>
      <c r="B137" s="32">
        <v>1.3499761315801001E-2</v>
      </c>
    </row>
    <row r="138" spans="1:2" x14ac:dyDescent="0.25">
      <c r="A138" s="5">
        <v>1.375</v>
      </c>
      <c r="B138" s="32">
        <v>0</v>
      </c>
    </row>
    <row r="139" spans="1:2" x14ac:dyDescent="0.25">
      <c r="A139" s="5">
        <v>1.5</v>
      </c>
      <c r="B139" s="32">
        <v>0</v>
      </c>
    </row>
    <row r="140" spans="1:2" x14ac:dyDescent="0.25">
      <c r="A140" s="5">
        <v>1.625</v>
      </c>
      <c r="B140" s="32">
        <v>0</v>
      </c>
    </row>
    <row r="141" spans="1:2" x14ac:dyDescent="0.25">
      <c r="A141" s="5">
        <v>1.75</v>
      </c>
      <c r="B141" s="32">
        <v>0</v>
      </c>
    </row>
    <row r="142" spans="1:2" x14ac:dyDescent="0.25">
      <c r="A142" s="5">
        <v>1.875</v>
      </c>
      <c r="B142" s="32">
        <v>0</v>
      </c>
    </row>
    <row r="143" spans="1:2" x14ac:dyDescent="0.25">
      <c r="A143" s="5">
        <v>2</v>
      </c>
      <c r="B143" s="32">
        <v>0</v>
      </c>
    </row>
    <row r="144" spans="1:2" x14ac:dyDescent="0.25">
      <c r="A144" s="5">
        <v>2.125</v>
      </c>
      <c r="B144" s="32">
        <v>0</v>
      </c>
    </row>
    <row r="145" spans="1:2" x14ac:dyDescent="0.25">
      <c r="A145" s="5">
        <v>2.25</v>
      </c>
      <c r="B145" s="32">
        <v>0</v>
      </c>
    </row>
    <row r="146" spans="1:2" x14ac:dyDescent="0.25">
      <c r="A146" s="5">
        <v>2.375</v>
      </c>
      <c r="B146" s="32">
        <v>0</v>
      </c>
    </row>
    <row r="147" spans="1:2" x14ac:dyDescent="0.25">
      <c r="A147" s="5">
        <v>2.5</v>
      </c>
      <c r="B147" s="32">
        <v>0</v>
      </c>
    </row>
    <row r="148" spans="1:2" x14ac:dyDescent="0.25">
      <c r="A148" s="5">
        <v>2.625</v>
      </c>
      <c r="B148" s="32">
        <v>0</v>
      </c>
    </row>
    <row r="149" spans="1:2" x14ac:dyDescent="0.25">
      <c r="A149" s="5">
        <v>2.75</v>
      </c>
      <c r="B149" s="32">
        <v>0</v>
      </c>
    </row>
    <row r="150" spans="1:2" x14ac:dyDescent="0.25">
      <c r="A150" s="5">
        <v>2.875</v>
      </c>
      <c r="B150" s="32">
        <v>0</v>
      </c>
    </row>
    <row r="151" spans="1:2" x14ac:dyDescent="0.25">
      <c r="A151" s="5">
        <v>3</v>
      </c>
      <c r="B151" s="32">
        <v>0</v>
      </c>
    </row>
    <row r="152" spans="1:2" x14ac:dyDescent="0.25">
      <c r="A152" s="5">
        <v>3.125</v>
      </c>
      <c r="B152" s="32">
        <v>0</v>
      </c>
    </row>
    <row r="153" spans="1:2" x14ac:dyDescent="0.25">
      <c r="A153" s="5">
        <v>3.25</v>
      </c>
      <c r="B153" s="32">
        <v>0</v>
      </c>
    </row>
    <row r="154" spans="1:2" x14ac:dyDescent="0.25">
      <c r="A154" s="5">
        <v>3.375</v>
      </c>
      <c r="B154" s="32">
        <v>0</v>
      </c>
    </row>
    <row r="155" spans="1:2" x14ac:dyDescent="0.25">
      <c r="A155" s="5">
        <v>3.5</v>
      </c>
      <c r="B155" s="32">
        <v>0</v>
      </c>
    </row>
    <row r="156" spans="1:2" x14ac:dyDescent="0.25">
      <c r="A156" s="5">
        <v>3.625</v>
      </c>
      <c r="B156" s="32">
        <v>0</v>
      </c>
    </row>
    <row r="157" spans="1:2" x14ac:dyDescent="0.25">
      <c r="A157" s="5">
        <v>3.75</v>
      </c>
      <c r="B157" s="32">
        <v>0</v>
      </c>
    </row>
    <row r="158" spans="1:2" x14ac:dyDescent="0.25">
      <c r="A158" s="5">
        <v>3.875</v>
      </c>
      <c r="B158" s="32">
        <v>0</v>
      </c>
    </row>
    <row r="159" spans="1:2" x14ac:dyDescent="0.25">
      <c r="A159" s="8">
        <v>4</v>
      </c>
      <c r="B159" s="35">
        <v>0</v>
      </c>
    </row>
  </sheetData>
  <sheetProtection algorithmName="SHA-512" hashValue="Omgtf/Le5TVKjjupMPubHV8OASnJ+5TzRf5iiRsDiQ2jLlEvsDR/faMWJbya9ujNOIxXtizK7bDZ0mBEAPkzUg==" saltValue="6NUdKuU0taFHZPP58+jgIQ==" spinCount="100000"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5:AH127"/>
  <sheetViews>
    <sheetView workbookViewId="0">
      <selection activeCell="B37" sqref="B3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43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1" spans="1:4" x14ac:dyDescent="0.25">
      <c r="A21" t="s">
        <v>7</v>
      </c>
    </row>
    <row r="23" spans="1:4" x14ac:dyDescent="0.25">
      <c r="A23" s="2"/>
      <c r="B23" s="11"/>
      <c r="C23" s="11"/>
      <c r="D23" s="12"/>
    </row>
    <row r="24" spans="1:4" x14ac:dyDescent="0.25">
      <c r="A24" s="5" t="s">
        <v>8</v>
      </c>
      <c r="B24" s="13">
        <v>300</v>
      </c>
      <c r="C24" s="13" t="s">
        <v>9</v>
      </c>
      <c r="D24" s="14"/>
    </row>
    <row r="25" spans="1:4" x14ac:dyDescent="0.25">
      <c r="A25" s="5" t="s">
        <v>10</v>
      </c>
      <c r="B25" s="13">
        <v>14</v>
      </c>
      <c r="C25" s="13" t="s">
        <v>11</v>
      </c>
      <c r="D25" s="14"/>
    </row>
    <row r="26" spans="1:4" x14ac:dyDescent="0.25">
      <c r="A26" s="8"/>
      <c r="B26" s="15"/>
      <c r="C26" s="15"/>
      <c r="D26" s="16"/>
    </row>
    <row r="30" spans="1:4" x14ac:dyDescent="0.25">
      <c r="A30" s="2"/>
      <c r="B30" s="3"/>
      <c r="C30" s="3"/>
      <c r="D30" s="4"/>
    </row>
    <row r="31" spans="1:4" x14ac:dyDescent="0.25">
      <c r="A31" s="5" t="s">
        <v>12</v>
      </c>
      <c r="B31" s="6">
        <v>0.13000000000000009</v>
      </c>
      <c r="C31" s="6" t="s">
        <v>13</v>
      </c>
      <c r="D31" s="7"/>
    </row>
    <row r="32" spans="1:4" x14ac:dyDescent="0.25">
      <c r="A32" s="8"/>
      <c r="B32" s="9"/>
      <c r="C32" s="9"/>
      <c r="D32" s="10"/>
    </row>
    <row r="35" spans="1:5" ht="28.9" customHeight="1" x14ac:dyDescent="0.5">
      <c r="A35" s="1" t="s">
        <v>14</v>
      </c>
    </row>
    <row r="37" spans="1:5" x14ac:dyDescent="0.25">
      <c r="A37" s="17" t="s">
        <v>15</v>
      </c>
      <c r="B37" s="36">
        <v>100</v>
      </c>
      <c r="C37" s="17" t="s">
        <v>16</v>
      </c>
      <c r="D37" s="17" t="s">
        <v>17</v>
      </c>
      <c r="E37" s="17"/>
    </row>
    <row r="38" spans="1:5" hidden="1" x14ac:dyDescent="0.25">
      <c r="A38" s="17" t="s">
        <v>18</v>
      </c>
      <c r="B38" s="17">
        <v>14.7</v>
      </c>
      <c r="C38" s="17"/>
      <c r="D38" s="17" t="s">
        <v>17</v>
      </c>
      <c r="E38" s="17"/>
    </row>
    <row r="39" spans="1:5" hidden="1" x14ac:dyDescent="0.25">
      <c r="A39" s="17" t="s">
        <v>19</v>
      </c>
      <c r="B39" s="17">
        <v>9.0079999999999991</v>
      </c>
      <c r="C39" s="17"/>
      <c r="D39" s="17" t="s">
        <v>17</v>
      </c>
      <c r="E39" s="17"/>
    </row>
    <row r="41" spans="1:5" ht="48" customHeight="1" x14ac:dyDescent="0.25">
      <c r="A41" s="18" t="s">
        <v>20</v>
      </c>
      <c r="B41" s="19" t="s">
        <v>21</v>
      </c>
      <c r="C41" s="19" t="s">
        <v>22</v>
      </c>
      <c r="D41" s="19" t="s">
        <v>23</v>
      </c>
      <c r="E41" s="20" t="s">
        <v>24</v>
      </c>
    </row>
    <row r="42" spans="1:5" x14ac:dyDescent="0.25">
      <c r="A42" s="5">
        <v>-80</v>
      </c>
      <c r="B42" s="6">
        <v>70.187454805199394</v>
      </c>
      <c r="C42" s="6">
        <f>70.1874548051994 * $B$37 / 100</f>
        <v>70.187454805199394</v>
      </c>
      <c r="D42" s="6">
        <v>8.8434633333333341</v>
      </c>
      <c r="E42" s="7">
        <f>8.84346333333333 * $B$37 / 100</f>
        <v>8.8434633333333306</v>
      </c>
    </row>
    <row r="43" spans="1:5" x14ac:dyDescent="0.25">
      <c r="A43" s="5">
        <v>-70</v>
      </c>
      <c r="B43" s="6">
        <v>71.382899169297517</v>
      </c>
      <c r="C43" s="6">
        <f>71.3828991692975 * $B$37 / 100</f>
        <v>71.382899169297502</v>
      </c>
      <c r="D43" s="6">
        <v>8.9940866666666661</v>
      </c>
      <c r="E43" s="7">
        <f>8.99408666666666 * $B$37 / 100</f>
        <v>8.9940866666666608</v>
      </c>
    </row>
    <row r="44" spans="1:5" x14ac:dyDescent="0.25">
      <c r="A44" s="5">
        <v>-60</v>
      </c>
      <c r="B44" s="6">
        <v>72.578343533395653</v>
      </c>
      <c r="C44" s="6">
        <f>72.5783435333956 * $B$37 / 100</f>
        <v>72.578343533395596</v>
      </c>
      <c r="D44" s="6">
        <v>9.1447099999999999</v>
      </c>
      <c r="E44" s="7">
        <f>9.14471 * $B$37 / 100</f>
        <v>9.1447099999999999</v>
      </c>
    </row>
    <row r="45" spans="1:5" x14ac:dyDescent="0.25">
      <c r="A45" s="5">
        <v>-50</v>
      </c>
      <c r="B45" s="6">
        <v>73.77378789749379</v>
      </c>
      <c r="C45" s="6">
        <f>73.7737878974937 * $B$37 / 100</f>
        <v>73.773787897493705</v>
      </c>
      <c r="D45" s="6">
        <v>9.2953333333333337</v>
      </c>
      <c r="E45" s="7">
        <f>9.29533333333333 * $B$37 / 100</f>
        <v>9.2953333333333301</v>
      </c>
    </row>
    <row r="46" spans="1:5" x14ac:dyDescent="0.25">
      <c r="A46" s="5">
        <v>-40</v>
      </c>
      <c r="B46" s="6">
        <v>74.969232261591927</v>
      </c>
      <c r="C46" s="6">
        <f>74.9692322615919 * $B$37 / 100</f>
        <v>74.969232261591898</v>
      </c>
      <c r="D46" s="6">
        <v>9.4459566666666674</v>
      </c>
      <c r="E46" s="7">
        <f>9.44595666666666 * $B$37 / 100</f>
        <v>9.4459566666666603</v>
      </c>
    </row>
    <row r="47" spans="1:5" x14ac:dyDescent="0.25">
      <c r="A47" s="5">
        <v>-30</v>
      </c>
      <c r="B47" s="6">
        <v>76.164676625690063</v>
      </c>
      <c r="C47" s="6">
        <f>76.16467662569 * $B$37 / 100</f>
        <v>76.164676625690007</v>
      </c>
      <c r="D47" s="6">
        <v>9.596580000000003</v>
      </c>
      <c r="E47" s="7">
        <f>9.59658 * $B$37 / 100</f>
        <v>9.5965799999999994</v>
      </c>
    </row>
    <row r="48" spans="1:5" x14ac:dyDescent="0.25">
      <c r="A48" s="5">
        <v>-20</v>
      </c>
      <c r="B48" s="6">
        <v>77.360120989788186</v>
      </c>
      <c r="C48" s="6">
        <f>77.3601209897881 * $B$37 / 100</f>
        <v>77.360120989788101</v>
      </c>
      <c r="D48" s="6">
        <v>9.7472033333333332</v>
      </c>
      <c r="E48" s="7">
        <f>9.74720333333333 * $B$37 / 100</f>
        <v>9.7472033333333297</v>
      </c>
    </row>
    <row r="49" spans="1:18" x14ac:dyDescent="0.25">
      <c r="A49" s="5">
        <v>-10</v>
      </c>
      <c r="B49" s="6">
        <v>78.555565353886323</v>
      </c>
      <c r="C49" s="6">
        <f>78.5555653538863 * $B$37 / 100</f>
        <v>78.555565353886294</v>
      </c>
      <c r="D49" s="6">
        <v>9.8978266666666688</v>
      </c>
      <c r="E49" s="7">
        <f>9.89782666666666 * $B$37 / 100</f>
        <v>9.8978266666666599</v>
      </c>
    </row>
    <row r="50" spans="1:18" x14ac:dyDescent="0.25">
      <c r="A50" s="5">
        <v>0</v>
      </c>
      <c r="B50" s="6">
        <v>79.751009717984459</v>
      </c>
      <c r="C50" s="6">
        <f>79.7510097179844 * $B$37 / 100</f>
        <v>79.751009717984402</v>
      </c>
      <c r="D50" s="6">
        <v>10.048450000000001</v>
      </c>
      <c r="E50" s="7">
        <f>10.04845 * $B$37 / 100</f>
        <v>10.048450000000001</v>
      </c>
    </row>
    <row r="51" spans="1:18" x14ac:dyDescent="0.25">
      <c r="A51" s="5">
        <v>10</v>
      </c>
      <c r="B51" s="6">
        <v>80.710841461048716</v>
      </c>
      <c r="C51" s="6">
        <f>80.7108414610487 * $B$37 / 100</f>
        <v>80.710841461048702</v>
      </c>
      <c r="D51" s="6">
        <v>10.16938666666667</v>
      </c>
      <c r="E51" s="7">
        <f>10.1693866666666 * $B$37 / 100</f>
        <v>10.1693866666666</v>
      </c>
    </row>
    <row r="52" spans="1:18" x14ac:dyDescent="0.25">
      <c r="A52" s="5">
        <v>20</v>
      </c>
      <c r="B52" s="6">
        <v>81.670673204112958</v>
      </c>
      <c r="C52" s="6">
        <f>81.6706732041129 * $B$37 / 100</f>
        <v>81.670673204112902</v>
      </c>
      <c r="D52" s="6">
        <v>10.29032333333334</v>
      </c>
      <c r="E52" s="7">
        <f>10.2903233333333 * $B$37 / 100</f>
        <v>10.2903233333333</v>
      </c>
    </row>
    <row r="53" spans="1:18" x14ac:dyDescent="0.25">
      <c r="A53" s="5">
        <v>30</v>
      </c>
      <c r="B53" s="6">
        <v>82.630504947177201</v>
      </c>
      <c r="C53" s="6">
        <f>82.6305049471772 * $B$37 / 100</f>
        <v>82.630504947177201</v>
      </c>
      <c r="D53" s="6">
        <v>10.41126</v>
      </c>
      <c r="E53" s="7">
        <f>10.41126 * $B$37 / 100</f>
        <v>10.41126</v>
      </c>
    </row>
    <row r="54" spans="1:18" x14ac:dyDescent="0.25">
      <c r="A54" s="5">
        <v>40</v>
      </c>
      <c r="B54" s="6">
        <v>83.590336690241458</v>
      </c>
      <c r="C54" s="6">
        <f>83.5903366902414 * $B$37 / 100</f>
        <v>83.590336690241401</v>
      </c>
      <c r="D54" s="6">
        <v>10.532196666666669</v>
      </c>
      <c r="E54" s="7">
        <f>10.5321966666666 * $B$37 / 100</f>
        <v>10.5321966666666</v>
      </c>
    </row>
    <row r="55" spans="1:18" x14ac:dyDescent="0.25">
      <c r="A55" s="5">
        <v>50</v>
      </c>
      <c r="B55" s="6">
        <v>84.550168433305714</v>
      </c>
      <c r="C55" s="6">
        <f>84.5501684333057 * $B$37 / 100</f>
        <v>84.5501684333057</v>
      </c>
      <c r="D55" s="6">
        <v>10.653133333333329</v>
      </c>
      <c r="E55" s="7">
        <f>10.6531333333333 * $B$37 / 100</f>
        <v>10.653133333333299</v>
      </c>
    </row>
    <row r="56" spans="1:18" x14ac:dyDescent="0.25">
      <c r="A56" s="5">
        <v>60</v>
      </c>
      <c r="B56" s="6">
        <v>85.510000176369957</v>
      </c>
      <c r="C56" s="6">
        <f>85.5100001763699 * $B$37 / 100</f>
        <v>85.5100001763699</v>
      </c>
      <c r="D56" s="6">
        <v>10.77407</v>
      </c>
      <c r="E56" s="7">
        <f>10.77407 * $B$37 / 100</f>
        <v>10.77407</v>
      </c>
    </row>
    <row r="57" spans="1:18" x14ac:dyDescent="0.25">
      <c r="A57" s="5">
        <v>70</v>
      </c>
      <c r="B57" s="6">
        <v>86.469831919434199</v>
      </c>
      <c r="C57" s="6">
        <f>86.4698319194342 * $B$37 / 100</f>
        <v>86.469831919434199</v>
      </c>
      <c r="D57" s="6">
        <v>10.895006666666671</v>
      </c>
      <c r="E57" s="7">
        <f>10.8950066666666 * $B$37 / 100</f>
        <v>10.8950066666666</v>
      </c>
    </row>
    <row r="58" spans="1:18" x14ac:dyDescent="0.25">
      <c r="A58" s="8">
        <v>80</v>
      </c>
      <c r="B58" s="9">
        <v>87.429663662498456</v>
      </c>
      <c r="C58" s="9">
        <f>87.4296636624984 * $B$37 / 100</f>
        <v>87.429663662498399</v>
      </c>
      <c r="D58" s="9">
        <v>11.015943333333331</v>
      </c>
      <c r="E58" s="10">
        <f>11.0159433333333 * $B$37 / 100</f>
        <v>11.015943333333301</v>
      </c>
    </row>
    <row r="60" spans="1:18" ht="28.9" customHeight="1" x14ac:dyDescent="0.5">
      <c r="A60" s="1" t="s">
        <v>25</v>
      </c>
      <c r="B60" s="1"/>
    </row>
    <row r="61" spans="1:18" x14ac:dyDescent="0.25">
      <c r="A61" s="21" t="s">
        <v>26</v>
      </c>
      <c r="B61" s="22">
        <v>0</v>
      </c>
      <c r="C61" s="22">
        <v>6.25</v>
      </c>
      <c r="D61" s="22">
        <v>12.5</v>
      </c>
      <c r="E61" s="22">
        <v>18.75</v>
      </c>
      <c r="F61" s="22">
        <v>25</v>
      </c>
      <c r="G61" s="22">
        <v>31.25</v>
      </c>
      <c r="H61" s="22">
        <v>37.5</v>
      </c>
      <c r="I61" s="22">
        <v>43.75</v>
      </c>
      <c r="J61" s="22">
        <v>50</v>
      </c>
      <c r="K61" s="22">
        <v>56.25</v>
      </c>
      <c r="L61" s="22">
        <v>62.5</v>
      </c>
      <c r="M61" s="22">
        <v>68.75</v>
      </c>
      <c r="N61" s="22">
        <v>75</v>
      </c>
      <c r="O61" s="22">
        <v>81.25</v>
      </c>
      <c r="P61" s="22">
        <v>87.5</v>
      </c>
      <c r="Q61" s="22">
        <v>93.75</v>
      </c>
      <c r="R61" s="23">
        <v>100</v>
      </c>
    </row>
    <row r="62" spans="1:18" x14ac:dyDescent="0.25">
      <c r="A62" s="5" t="s">
        <v>27</v>
      </c>
      <c r="B62" s="6">
        <f>0 * $B$39 + (1 - 0) * $B$38</f>
        <v>14.7</v>
      </c>
      <c r="C62" s="6">
        <f>0.0625 * $B$39 + (1 - 0.0625) * $B$38</f>
        <v>14.344250000000001</v>
      </c>
      <c r="D62" s="6">
        <f>0.125 * $B$39 + (1 - 0.125) * $B$38</f>
        <v>13.988499999999998</v>
      </c>
      <c r="E62" s="6">
        <f>0.1875 * $B$39 + (1 - 0.1875) * $B$38</f>
        <v>13.63275</v>
      </c>
      <c r="F62" s="6">
        <f>0.25 * $B$39 + (1 - 0.25) * $B$38</f>
        <v>13.276999999999997</v>
      </c>
      <c r="G62" s="6">
        <f>0.3125 * $B$39 + (1 - 0.3125) * $B$38</f>
        <v>12.921249999999999</v>
      </c>
      <c r="H62" s="6">
        <f>0.375 * $B$39 + (1 - 0.375) * $B$38</f>
        <v>12.5655</v>
      </c>
      <c r="I62" s="6">
        <f>0.4375 * $B$39 + (1 - 0.4375) * $B$38</f>
        <v>12.20975</v>
      </c>
      <c r="J62" s="6">
        <f>0.5 * $B$39 + (1 - 0.5) * $B$38</f>
        <v>11.853999999999999</v>
      </c>
      <c r="K62" s="6">
        <f>0.5625 * $B$39 + (1 - 0.5625) * $B$38</f>
        <v>11.498249999999999</v>
      </c>
      <c r="L62" s="6">
        <f>0.625 * $B$39 + (1 - 0.625) * $B$38</f>
        <v>11.142499999999998</v>
      </c>
      <c r="M62" s="6">
        <f>0.6875 * $B$39 + (1 - 0.6875) * $B$38</f>
        <v>10.78675</v>
      </c>
      <c r="N62" s="6">
        <f>0.75 * $B$39 + (1 - 0.75) * $B$38</f>
        <v>10.430999999999999</v>
      </c>
      <c r="O62" s="6">
        <f>0.8125 * $B$39 + (1 - 0.8125) * $B$38</f>
        <v>10.075249999999999</v>
      </c>
      <c r="P62" s="6">
        <f>0.875 * $B$39 + (1 - 0.875) * $B$38</f>
        <v>9.7195</v>
      </c>
      <c r="Q62" s="6">
        <f>0.9375 * $B$39 + (1 - 0.9375) * $B$38</f>
        <v>9.3637499999999978</v>
      </c>
      <c r="R62" s="7">
        <f>1 * $B$39 + (1 - 1) * $B$38</f>
        <v>9.0079999999999991</v>
      </c>
    </row>
    <row r="63" spans="1:18" x14ac:dyDescent="0.25">
      <c r="A63" s="8" t="s">
        <v>28</v>
      </c>
      <c r="B63" s="9">
        <f>(0 * $B$39 + (1 - 0) * $B$38) * $B$37 / 100</f>
        <v>14.7</v>
      </c>
      <c r="C63" s="9">
        <f>(0.0625 * $B$39 + (1 - 0.0625) * $B$38) * $B$37 / 100</f>
        <v>14.344249999999999</v>
      </c>
      <c r="D63" s="9">
        <f>(0.125 * $B$39 + (1 - 0.125) * $B$38) * $B$37 / 100</f>
        <v>13.988499999999998</v>
      </c>
      <c r="E63" s="9">
        <f>(0.1875 * $B$39 + (1 - 0.1875) * $B$38) * $B$37 / 100</f>
        <v>13.632749999999998</v>
      </c>
      <c r="F63" s="9">
        <f>(0.25 * $B$39 + (1 - 0.25) * $B$38) * $B$37 / 100</f>
        <v>13.276999999999997</v>
      </c>
      <c r="G63" s="9">
        <f>(0.3125 * $B$39 + (1 - 0.3125) * $B$38) * $B$37 / 100</f>
        <v>12.921249999999997</v>
      </c>
      <c r="H63" s="9">
        <f>(0.375 * $B$39 + (1 - 0.375) * $B$38) * $B$37 / 100</f>
        <v>12.5655</v>
      </c>
      <c r="I63" s="9">
        <f>(0.4375 * $B$39 + (1 - 0.4375) * $B$38) * $B$37 / 100</f>
        <v>12.20975</v>
      </c>
      <c r="J63" s="9">
        <f>(0.5 * $B$39 + (1 - 0.5) * $B$38) * $B$37 / 100</f>
        <v>11.853999999999999</v>
      </c>
      <c r="K63" s="9">
        <f>(0.5625 * $B$39 + (1 - 0.5625) * $B$38) * $B$37 / 100</f>
        <v>11.498249999999999</v>
      </c>
      <c r="L63" s="9">
        <f>(0.625 * $B$39 + (1 - 0.625) * $B$38) * $B$37 / 100</f>
        <v>11.142499999999998</v>
      </c>
      <c r="M63" s="9">
        <f>(0.6875 * $B$39 + (1 - 0.6875) * $B$38) * $B$37 / 100</f>
        <v>10.78675</v>
      </c>
      <c r="N63" s="9">
        <f>(0.75 * $B$39 + (1 - 0.75) * $B$38) * $B$37 / 100</f>
        <v>10.430999999999999</v>
      </c>
      <c r="O63" s="9">
        <f>(0.8125 * $B$39 + (1 - 0.8125) * $B$38) * $B$37 / 100</f>
        <v>10.075249999999999</v>
      </c>
      <c r="P63" s="9">
        <f>(0.875 * $B$39 + (1 - 0.875) * $B$38) * $B$37 / 100</f>
        <v>9.7195</v>
      </c>
      <c r="Q63" s="9">
        <f>(0.9375 * $B$39 + (1 - 0.9375) * $B$38) * $B$37 / 100</f>
        <v>9.3637499999999978</v>
      </c>
      <c r="R63" s="10">
        <f>(1 * $B$39 + (1 - 1) * $B$38) * $B$37 / 100</f>
        <v>9.0079999999999991</v>
      </c>
    </row>
    <row r="65" spans="1:34" ht="28.9" customHeight="1" x14ac:dyDescent="0.5">
      <c r="A65" s="1" t="s">
        <v>29</v>
      </c>
      <c r="B65" s="1"/>
    </row>
    <row r="66" spans="1:34" x14ac:dyDescent="0.25">
      <c r="A66" s="24" t="s">
        <v>30</v>
      </c>
      <c r="B66" s="25" t="s">
        <v>20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6"/>
    </row>
    <row r="67" spans="1:34" x14ac:dyDescent="0.25">
      <c r="A67" s="27" t="s">
        <v>44</v>
      </c>
      <c r="B67" s="28">
        <v>4.5</v>
      </c>
      <c r="C67" s="28">
        <v>5</v>
      </c>
      <c r="D67" s="28">
        <v>5.5</v>
      </c>
      <c r="E67" s="28">
        <v>6</v>
      </c>
      <c r="F67" s="28">
        <v>6.5</v>
      </c>
      <c r="G67" s="28">
        <v>7</v>
      </c>
      <c r="H67" s="28">
        <v>7.5</v>
      </c>
      <c r="I67" s="28">
        <v>8</v>
      </c>
      <c r="J67" s="28">
        <v>8.5</v>
      </c>
      <c r="K67" s="28">
        <v>9</v>
      </c>
      <c r="L67" s="28">
        <v>9.5</v>
      </c>
      <c r="M67" s="28">
        <v>10</v>
      </c>
      <c r="N67" s="28">
        <v>10.5</v>
      </c>
      <c r="O67" s="28">
        <v>11</v>
      </c>
      <c r="P67" s="28">
        <v>11.5</v>
      </c>
      <c r="Q67" s="28">
        <v>12</v>
      </c>
      <c r="R67" s="28">
        <v>12.5</v>
      </c>
      <c r="S67" s="28">
        <v>13</v>
      </c>
      <c r="T67" s="28">
        <v>13.5</v>
      </c>
      <c r="U67" s="28">
        <v>14</v>
      </c>
      <c r="V67" s="28">
        <v>14.5</v>
      </c>
      <c r="W67" s="28">
        <v>15</v>
      </c>
      <c r="X67" s="28">
        <v>15.5</v>
      </c>
      <c r="Y67" s="28">
        <v>16</v>
      </c>
      <c r="Z67" s="28">
        <v>16.5</v>
      </c>
      <c r="AA67" s="28">
        <v>17</v>
      </c>
      <c r="AB67" s="28">
        <v>17.5</v>
      </c>
      <c r="AC67" s="28">
        <v>18</v>
      </c>
      <c r="AD67" s="28">
        <v>18.5</v>
      </c>
      <c r="AE67" s="28">
        <v>19</v>
      </c>
      <c r="AF67" s="28">
        <v>19.5</v>
      </c>
      <c r="AG67" s="28">
        <v>20</v>
      </c>
      <c r="AH67" s="29">
        <v>20.5</v>
      </c>
    </row>
    <row r="68" spans="1:34" x14ac:dyDescent="0.25">
      <c r="A68" s="30">
        <v>-80</v>
      </c>
      <c r="B68" s="31">
        <v>2.3078000000000012</v>
      </c>
      <c r="C68" s="31">
        <v>2.3077999999999999</v>
      </c>
      <c r="D68" s="31">
        <v>2.3078000000000012</v>
      </c>
      <c r="E68" s="31">
        <v>2.3078000000000012</v>
      </c>
      <c r="F68" s="31">
        <v>2.3077999999999999</v>
      </c>
      <c r="G68" s="31">
        <v>2.3077999999999999</v>
      </c>
      <c r="H68" s="31">
        <v>2.3077999999999999</v>
      </c>
      <c r="I68" s="31">
        <v>2.3077999999999999</v>
      </c>
      <c r="J68" s="31">
        <v>2.1243500000000011</v>
      </c>
      <c r="K68" s="31">
        <v>1.940900000000001</v>
      </c>
      <c r="L68" s="31">
        <v>1.75745</v>
      </c>
      <c r="M68" s="31">
        <v>1.5740000000000001</v>
      </c>
      <c r="N68" s="31">
        <v>1.4916</v>
      </c>
      <c r="O68" s="31">
        <v>1.4092</v>
      </c>
      <c r="P68" s="31">
        <v>1.3271999999999999</v>
      </c>
      <c r="Q68" s="31">
        <v>1.245200000000001</v>
      </c>
      <c r="R68" s="31">
        <v>1.1921999999999999</v>
      </c>
      <c r="S68" s="31">
        <v>1.1392</v>
      </c>
      <c r="T68" s="31">
        <v>1.0766</v>
      </c>
      <c r="U68" s="31">
        <v>1.014</v>
      </c>
      <c r="V68" s="31">
        <v>0.97519999999999973</v>
      </c>
      <c r="W68" s="31">
        <v>0.93639999999999968</v>
      </c>
      <c r="X68" s="31">
        <v>0.8980999999999999</v>
      </c>
      <c r="Y68" s="31">
        <v>0.85980000000000012</v>
      </c>
      <c r="Z68" s="31">
        <v>0.83410000000000006</v>
      </c>
      <c r="AA68" s="31">
        <v>0.80840000000000001</v>
      </c>
      <c r="AB68" s="31">
        <v>0.78400000000000014</v>
      </c>
      <c r="AC68" s="31">
        <v>0.78400000000000003</v>
      </c>
      <c r="AD68" s="31">
        <v>0.78400000000000003</v>
      </c>
      <c r="AE68" s="31">
        <v>0.78400000000000059</v>
      </c>
      <c r="AF68" s="31">
        <v>0.78400000000000047</v>
      </c>
      <c r="AG68" s="31">
        <v>0.78400000000000003</v>
      </c>
      <c r="AH68" s="32">
        <v>0.78400000000000025</v>
      </c>
    </row>
    <row r="69" spans="1:34" x14ac:dyDescent="0.25">
      <c r="A69" s="30">
        <v>-70</v>
      </c>
      <c r="B69" s="31">
        <v>2.3267000000000002</v>
      </c>
      <c r="C69" s="31">
        <v>2.3267000000000002</v>
      </c>
      <c r="D69" s="31">
        <v>2.3267000000000002</v>
      </c>
      <c r="E69" s="31">
        <v>2.3267000000000011</v>
      </c>
      <c r="F69" s="31">
        <v>2.3267000000000002</v>
      </c>
      <c r="G69" s="31">
        <v>2.3266999999999989</v>
      </c>
      <c r="H69" s="31">
        <v>2.3267000000000002</v>
      </c>
      <c r="I69" s="31">
        <v>2.3267000000000002</v>
      </c>
      <c r="J69" s="31">
        <v>2.14215</v>
      </c>
      <c r="K69" s="31">
        <v>1.9576</v>
      </c>
      <c r="L69" s="31">
        <v>1.77305</v>
      </c>
      <c r="M69" s="31">
        <v>1.5885</v>
      </c>
      <c r="N69" s="31">
        <v>1.5024</v>
      </c>
      <c r="O69" s="31">
        <v>1.4162999999999999</v>
      </c>
      <c r="P69" s="31">
        <v>1.33355</v>
      </c>
      <c r="Q69" s="31">
        <v>1.2507999999999999</v>
      </c>
      <c r="R69" s="31">
        <v>1.1980500000000009</v>
      </c>
      <c r="S69" s="31">
        <v>1.1453</v>
      </c>
      <c r="T69" s="31">
        <v>1.0831500000000001</v>
      </c>
      <c r="U69" s="31">
        <v>1.0209999999999999</v>
      </c>
      <c r="V69" s="31">
        <v>0.98129999999999984</v>
      </c>
      <c r="W69" s="31">
        <v>0.94159999999999988</v>
      </c>
      <c r="X69" s="31">
        <v>0.90265000000000006</v>
      </c>
      <c r="Y69" s="31">
        <v>0.86370000000000002</v>
      </c>
      <c r="Z69" s="31">
        <v>0.83815000000000006</v>
      </c>
      <c r="AA69" s="31">
        <v>0.81259999999999988</v>
      </c>
      <c r="AB69" s="31">
        <v>0.78800000000000014</v>
      </c>
      <c r="AC69" s="31">
        <v>0.78800000000000026</v>
      </c>
      <c r="AD69" s="31">
        <v>0.78800000000000026</v>
      </c>
      <c r="AE69" s="31">
        <v>0.78800000000000037</v>
      </c>
      <c r="AF69" s="31">
        <v>0.78800000000000014</v>
      </c>
      <c r="AG69" s="31">
        <v>0.78800000000000026</v>
      </c>
      <c r="AH69" s="32">
        <v>0.78800000000000003</v>
      </c>
    </row>
    <row r="70" spans="1:34" x14ac:dyDescent="0.25">
      <c r="A70" s="30">
        <v>-60</v>
      </c>
      <c r="B70" s="31">
        <v>2.345600000000001</v>
      </c>
      <c r="C70" s="31">
        <v>2.345600000000001</v>
      </c>
      <c r="D70" s="31">
        <v>2.345600000000001</v>
      </c>
      <c r="E70" s="31">
        <v>2.3456000000000001</v>
      </c>
      <c r="F70" s="31">
        <v>2.3456000000000001</v>
      </c>
      <c r="G70" s="31">
        <v>2.3456000000000001</v>
      </c>
      <c r="H70" s="31">
        <v>2.345600000000001</v>
      </c>
      <c r="I70" s="31">
        <v>2.3456000000000001</v>
      </c>
      <c r="J70" s="31">
        <v>2.1599499999999998</v>
      </c>
      <c r="K70" s="31">
        <v>1.9742999999999999</v>
      </c>
      <c r="L70" s="31">
        <v>1.7886500000000001</v>
      </c>
      <c r="M70" s="31">
        <v>1.603</v>
      </c>
      <c r="N70" s="31">
        <v>1.5132000000000001</v>
      </c>
      <c r="O70" s="31">
        <v>1.4234</v>
      </c>
      <c r="P70" s="31">
        <v>1.339900000000001</v>
      </c>
      <c r="Q70" s="31">
        <v>1.2564</v>
      </c>
      <c r="R70" s="31">
        <v>1.2039</v>
      </c>
      <c r="S70" s="31">
        <v>1.1514</v>
      </c>
      <c r="T70" s="31">
        <v>1.0896999999999999</v>
      </c>
      <c r="U70" s="31">
        <v>1.028</v>
      </c>
      <c r="V70" s="31">
        <v>0.98740000000000006</v>
      </c>
      <c r="W70" s="31">
        <v>0.94680000000000009</v>
      </c>
      <c r="X70" s="31">
        <v>0.90720000000000001</v>
      </c>
      <c r="Y70" s="31">
        <v>0.86760000000000026</v>
      </c>
      <c r="Z70" s="31">
        <v>0.84220000000000006</v>
      </c>
      <c r="AA70" s="31">
        <v>0.81679999999999997</v>
      </c>
      <c r="AB70" s="31">
        <v>0.79200000000000026</v>
      </c>
      <c r="AC70" s="31">
        <v>0.79200000000000015</v>
      </c>
      <c r="AD70" s="31">
        <v>0.79200000000000026</v>
      </c>
      <c r="AE70" s="31">
        <v>0.79200000000000026</v>
      </c>
      <c r="AF70" s="31">
        <v>0.79200000000000037</v>
      </c>
      <c r="AG70" s="31">
        <v>0.79200000000000037</v>
      </c>
      <c r="AH70" s="32">
        <v>0.79200000000000026</v>
      </c>
    </row>
    <row r="71" spans="1:34" x14ac:dyDescent="0.25">
      <c r="A71" s="30">
        <v>-50</v>
      </c>
      <c r="B71" s="31">
        <v>2.3645</v>
      </c>
      <c r="C71" s="31">
        <v>2.3645</v>
      </c>
      <c r="D71" s="31">
        <v>2.3645</v>
      </c>
      <c r="E71" s="31">
        <v>2.3644999999999992</v>
      </c>
      <c r="F71" s="31">
        <v>2.3645</v>
      </c>
      <c r="G71" s="31">
        <v>2.3645</v>
      </c>
      <c r="H71" s="31">
        <v>2.3645</v>
      </c>
      <c r="I71" s="31">
        <v>2.3645</v>
      </c>
      <c r="J71" s="31">
        <v>2.1777500000000001</v>
      </c>
      <c r="K71" s="31">
        <v>1.9910000000000001</v>
      </c>
      <c r="L71" s="31">
        <v>1.8042499999999999</v>
      </c>
      <c r="M71" s="31">
        <v>1.6174999999999999</v>
      </c>
      <c r="N71" s="31">
        <v>1.524</v>
      </c>
      <c r="O71" s="31">
        <v>1.4305000000000001</v>
      </c>
      <c r="P71" s="31">
        <v>1.3462499999999999</v>
      </c>
      <c r="Q71" s="31">
        <v>1.262</v>
      </c>
      <c r="R71" s="31">
        <v>1.209750000000001</v>
      </c>
      <c r="S71" s="31">
        <v>1.1575</v>
      </c>
      <c r="T71" s="31">
        <v>1.0962499999999999</v>
      </c>
      <c r="U71" s="31">
        <v>1.0349999999999999</v>
      </c>
      <c r="V71" s="31">
        <v>0.99350000000000016</v>
      </c>
      <c r="W71" s="31">
        <v>0.95200000000000007</v>
      </c>
      <c r="X71" s="31">
        <v>0.91174999999999973</v>
      </c>
      <c r="Y71" s="31">
        <v>0.87149999999999961</v>
      </c>
      <c r="Z71" s="31">
        <v>0.84624999999999995</v>
      </c>
      <c r="AA71" s="31">
        <v>0.82099999999999984</v>
      </c>
      <c r="AB71" s="31">
        <v>0.79600000000000015</v>
      </c>
      <c r="AC71" s="31">
        <v>0.79599999999999993</v>
      </c>
      <c r="AD71" s="31">
        <v>0.79600000000000004</v>
      </c>
      <c r="AE71" s="31">
        <v>0.79600000000000048</v>
      </c>
      <c r="AF71" s="31">
        <v>0.79600000000000004</v>
      </c>
      <c r="AG71" s="31">
        <v>0.79599999999999982</v>
      </c>
      <c r="AH71" s="32">
        <v>0.79599999999999982</v>
      </c>
    </row>
    <row r="72" spans="1:34" x14ac:dyDescent="0.25">
      <c r="A72" s="30">
        <v>-40</v>
      </c>
      <c r="B72" s="31">
        <v>2.3834</v>
      </c>
      <c r="C72" s="31">
        <v>2.3834</v>
      </c>
      <c r="D72" s="31">
        <v>2.3834</v>
      </c>
      <c r="E72" s="31">
        <v>2.3834</v>
      </c>
      <c r="F72" s="31">
        <v>2.3834</v>
      </c>
      <c r="G72" s="31">
        <v>2.3833999999999991</v>
      </c>
      <c r="H72" s="31">
        <v>2.3834000000000009</v>
      </c>
      <c r="I72" s="31">
        <v>2.3834</v>
      </c>
      <c r="J72" s="31">
        <v>2.1955499999999999</v>
      </c>
      <c r="K72" s="31">
        <v>2.0076999999999998</v>
      </c>
      <c r="L72" s="31">
        <v>1.81985</v>
      </c>
      <c r="M72" s="31">
        <v>1.631999999999999</v>
      </c>
      <c r="N72" s="31">
        <v>1.5347999999999999</v>
      </c>
      <c r="O72" s="31">
        <v>1.4376</v>
      </c>
      <c r="P72" s="31">
        <v>1.3526</v>
      </c>
      <c r="Q72" s="31">
        <v>1.2676000000000001</v>
      </c>
      <c r="R72" s="31">
        <v>1.2156</v>
      </c>
      <c r="S72" s="31">
        <v>1.1636</v>
      </c>
      <c r="T72" s="31">
        <v>1.1028</v>
      </c>
      <c r="U72" s="31">
        <v>1.042</v>
      </c>
      <c r="V72" s="31">
        <v>0.99960000000000016</v>
      </c>
      <c r="W72" s="31">
        <v>0.95719999999999994</v>
      </c>
      <c r="X72" s="31">
        <v>0.91629999999999978</v>
      </c>
      <c r="Y72" s="31">
        <v>0.87539999999999984</v>
      </c>
      <c r="Z72" s="31">
        <v>0.85029999999999983</v>
      </c>
      <c r="AA72" s="31">
        <v>0.82519999999999993</v>
      </c>
      <c r="AB72" s="31">
        <v>0.80000000000000016</v>
      </c>
      <c r="AC72" s="31">
        <v>0.79999999999999993</v>
      </c>
      <c r="AD72" s="31">
        <v>0.79999999999999971</v>
      </c>
      <c r="AE72" s="31">
        <v>0.80000000000000027</v>
      </c>
      <c r="AF72" s="31">
        <v>0.8</v>
      </c>
      <c r="AG72" s="31">
        <v>0.8</v>
      </c>
      <c r="AH72" s="32">
        <v>0.8</v>
      </c>
    </row>
    <row r="73" spans="1:34" x14ac:dyDescent="0.25">
      <c r="A73" s="30">
        <v>-30</v>
      </c>
      <c r="B73" s="31">
        <v>2.4022999999999999</v>
      </c>
      <c r="C73" s="31">
        <v>2.402299999999999</v>
      </c>
      <c r="D73" s="31">
        <v>2.4022999999999999</v>
      </c>
      <c r="E73" s="31">
        <v>2.402299999999999</v>
      </c>
      <c r="F73" s="31">
        <v>2.402299999999999</v>
      </c>
      <c r="G73" s="31">
        <v>2.402299999999999</v>
      </c>
      <c r="H73" s="31">
        <v>2.402299999999999</v>
      </c>
      <c r="I73" s="31">
        <v>2.402299999999999</v>
      </c>
      <c r="J73" s="31">
        <v>2.2133500000000002</v>
      </c>
      <c r="K73" s="31">
        <v>2.0244</v>
      </c>
      <c r="L73" s="31">
        <v>1.83545</v>
      </c>
      <c r="M73" s="31">
        <v>1.6465000000000001</v>
      </c>
      <c r="N73" s="31">
        <v>1.5456000000000001</v>
      </c>
      <c r="O73" s="31">
        <v>1.444699999999999</v>
      </c>
      <c r="P73" s="31">
        <v>1.3589500000000001</v>
      </c>
      <c r="Q73" s="31">
        <v>1.2732000000000001</v>
      </c>
      <c r="R73" s="31">
        <v>1.2214499999999999</v>
      </c>
      <c r="S73" s="31">
        <v>1.1696999999999991</v>
      </c>
      <c r="T73" s="31">
        <v>1.1093500000000001</v>
      </c>
      <c r="U73" s="31">
        <v>1.048999999999999</v>
      </c>
      <c r="V73" s="31">
        <v>1.0057</v>
      </c>
      <c r="W73" s="31">
        <v>0.9623999999999997</v>
      </c>
      <c r="X73" s="31">
        <v>0.9208499999999995</v>
      </c>
      <c r="Y73" s="31">
        <v>0.87929999999999942</v>
      </c>
      <c r="Z73" s="31">
        <v>0.85434999999999983</v>
      </c>
      <c r="AA73" s="31">
        <v>0.82939999999999958</v>
      </c>
      <c r="AB73" s="31">
        <v>0.80400000000000005</v>
      </c>
      <c r="AC73" s="31">
        <v>0.8039999999999996</v>
      </c>
      <c r="AD73" s="31">
        <v>0.80400000000000005</v>
      </c>
      <c r="AE73" s="31">
        <v>0.80400000000000005</v>
      </c>
      <c r="AF73" s="31">
        <v>0.80400000000000005</v>
      </c>
      <c r="AG73" s="31">
        <v>0.80400000000000027</v>
      </c>
      <c r="AH73" s="32">
        <v>0.80399999999999983</v>
      </c>
    </row>
    <row r="74" spans="1:34" x14ac:dyDescent="0.25">
      <c r="A74" s="30">
        <v>-20</v>
      </c>
      <c r="B74" s="31">
        <v>2.4212000000000011</v>
      </c>
      <c r="C74" s="31">
        <v>2.4212000000000011</v>
      </c>
      <c r="D74" s="31">
        <v>2.4212000000000011</v>
      </c>
      <c r="E74" s="31">
        <v>2.4212000000000011</v>
      </c>
      <c r="F74" s="31">
        <v>2.4211999999999989</v>
      </c>
      <c r="G74" s="31">
        <v>2.4211999999999989</v>
      </c>
      <c r="H74" s="31">
        <v>2.4212000000000011</v>
      </c>
      <c r="I74" s="31">
        <v>2.4212000000000011</v>
      </c>
      <c r="J74" s="31">
        <v>2.23115</v>
      </c>
      <c r="K74" s="31">
        <v>2.0411000000000001</v>
      </c>
      <c r="L74" s="31">
        <v>1.8510500000000001</v>
      </c>
      <c r="M74" s="31">
        <v>1.661</v>
      </c>
      <c r="N74" s="31">
        <v>1.5564</v>
      </c>
      <c r="O74" s="31">
        <v>1.4518</v>
      </c>
      <c r="P74" s="31">
        <v>1.3653</v>
      </c>
      <c r="Q74" s="31">
        <v>1.2787999999999999</v>
      </c>
      <c r="R74" s="31">
        <v>1.2273000000000009</v>
      </c>
      <c r="S74" s="31">
        <v>1.1758</v>
      </c>
      <c r="T74" s="31">
        <v>1.1158999999999999</v>
      </c>
      <c r="U74" s="31">
        <v>1.056</v>
      </c>
      <c r="V74" s="31">
        <v>1.0118</v>
      </c>
      <c r="W74" s="31">
        <v>0.96760000000000013</v>
      </c>
      <c r="X74" s="31">
        <v>0.92540000000000011</v>
      </c>
      <c r="Y74" s="31">
        <v>0.88319999999999999</v>
      </c>
      <c r="Z74" s="31">
        <v>0.85839999999999994</v>
      </c>
      <c r="AA74" s="31">
        <v>0.83360000000000001</v>
      </c>
      <c r="AB74" s="31">
        <v>0.80800000000000005</v>
      </c>
      <c r="AC74" s="31">
        <v>0.80800000000000005</v>
      </c>
      <c r="AD74" s="31">
        <v>0.80799999999999994</v>
      </c>
      <c r="AE74" s="31">
        <v>0.80800000000000038</v>
      </c>
      <c r="AF74" s="31">
        <v>0.80800000000000016</v>
      </c>
      <c r="AG74" s="31">
        <v>0.80800000000000016</v>
      </c>
      <c r="AH74" s="32">
        <v>0.80800000000000016</v>
      </c>
    </row>
    <row r="75" spans="1:34" x14ac:dyDescent="0.25">
      <c r="A75" s="30">
        <v>-10</v>
      </c>
      <c r="B75" s="31">
        <v>2.4401000000000002</v>
      </c>
      <c r="C75" s="31">
        <v>2.440100000000001</v>
      </c>
      <c r="D75" s="31">
        <v>2.4401000000000002</v>
      </c>
      <c r="E75" s="31">
        <v>2.4401000000000002</v>
      </c>
      <c r="F75" s="31">
        <v>2.4400999999999988</v>
      </c>
      <c r="G75" s="31">
        <v>2.4400999999999988</v>
      </c>
      <c r="H75" s="31">
        <v>2.440100000000001</v>
      </c>
      <c r="I75" s="31">
        <v>2.4401000000000002</v>
      </c>
      <c r="J75" s="31">
        <v>2.2489499999999998</v>
      </c>
      <c r="K75" s="31">
        <v>2.0578000000000012</v>
      </c>
      <c r="L75" s="31">
        <v>1.8666499999999999</v>
      </c>
      <c r="M75" s="31">
        <v>1.6755</v>
      </c>
      <c r="N75" s="31">
        <v>1.5671999999999999</v>
      </c>
      <c r="O75" s="31">
        <v>1.4589000000000001</v>
      </c>
      <c r="P75" s="31">
        <v>1.37165</v>
      </c>
      <c r="Q75" s="31">
        <v>1.2844</v>
      </c>
      <c r="R75" s="31">
        <v>1.23315</v>
      </c>
      <c r="S75" s="31">
        <v>1.1818999999999991</v>
      </c>
      <c r="T75" s="31">
        <v>1.1224499999999999</v>
      </c>
      <c r="U75" s="31">
        <v>1.0629999999999999</v>
      </c>
      <c r="V75" s="31">
        <v>1.0179</v>
      </c>
      <c r="W75" s="31">
        <v>0.9728</v>
      </c>
      <c r="X75" s="31">
        <v>0.92995000000000017</v>
      </c>
      <c r="Y75" s="31">
        <v>0.88709999999999989</v>
      </c>
      <c r="Z75" s="31">
        <v>0.86244999999999983</v>
      </c>
      <c r="AA75" s="31">
        <v>0.83779999999999977</v>
      </c>
      <c r="AB75" s="31">
        <v>0.81199999999999994</v>
      </c>
      <c r="AC75" s="31">
        <v>0.81199999999999994</v>
      </c>
      <c r="AD75" s="31">
        <v>0.81199999999999972</v>
      </c>
      <c r="AE75" s="31">
        <v>0.81200000000000028</v>
      </c>
      <c r="AF75" s="31">
        <v>0.81200000000000028</v>
      </c>
      <c r="AG75" s="31">
        <v>0.81199999999999994</v>
      </c>
      <c r="AH75" s="32">
        <v>0.81199999999999983</v>
      </c>
    </row>
    <row r="76" spans="1:34" x14ac:dyDescent="0.25">
      <c r="A76" s="30">
        <v>0</v>
      </c>
      <c r="B76" s="31">
        <v>2.459000000000001</v>
      </c>
      <c r="C76" s="31">
        <v>2.459000000000001</v>
      </c>
      <c r="D76" s="31">
        <v>2.4590000000000001</v>
      </c>
      <c r="E76" s="31">
        <v>2.459000000000001</v>
      </c>
      <c r="F76" s="31">
        <v>2.4590000000000001</v>
      </c>
      <c r="G76" s="31">
        <v>2.4589999999999992</v>
      </c>
      <c r="H76" s="31">
        <v>2.4590000000000001</v>
      </c>
      <c r="I76" s="31">
        <v>2.4590000000000001</v>
      </c>
      <c r="J76" s="31">
        <v>2.2667500000000009</v>
      </c>
      <c r="K76" s="31">
        <v>2.0745000000000009</v>
      </c>
      <c r="L76" s="31">
        <v>1.8822500000000011</v>
      </c>
      <c r="M76" s="31">
        <v>1.69</v>
      </c>
      <c r="N76" s="31">
        <v>1.5780000000000001</v>
      </c>
      <c r="O76" s="31">
        <v>1.466</v>
      </c>
      <c r="P76" s="31">
        <v>1.3779999999999999</v>
      </c>
      <c r="Q76" s="31">
        <v>1.2900000000000009</v>
      </c>
      <c r="R76" s="31">
        <v>1.2390000000000001</v>
      </c>
      <c r="S76" s="31">
        <v>1.1879999999999999</v>
      </c>
      <c r="T76" s="31">
        <v>1.129</v>
      </c>
      <c r="U76" s="31">
        <v>1.07</v>
      </c>
      <c r="V76" s="31">
        <v>1.024</v>
      </c>
      <c r="W76" s="31">
        <v>0.97800000000000031</v>
      </c>
      <c r="X76" s="31">
        <v>0.93450000000000011</v>
      </c>
      <c r="Y76" s="31">
        <v>0.89100000000000001</v>
      </c>
      <c r="Z76" s="31">
        <v>0.86650000000000027</v>
      </c>
      <c r="AA76" s="31">
        <v>0.84200000000000008</v>
      </c>
      <c r="AB76" s="31">
        <v>0.81600000000000017</v>
      </c>
      <c r="AC76" s="31">
        <v>0.81599999999999995</v>
      </c>
      <c r="AD76" s="31">
        <v>0.81600000000000017</v>
      </c>
      <c r="AE76" s="31">
        <v>0.81600000000000028</v>
      </c>
      <c r="AF76" s="31">
        <v>0.81600000000000028</v>
      </c>
      <c r="AG76" s="31">
        <v>0.81600000000000028</v>
      </c>
      <c r="AH76" s="32">
        <v>0.81600000000000017</v>
      </c>
    </row>
    <row r="77" spans="1:34" x14ac:dyDescent="0.25">
      <c r="A77" s="30">
        <v>10</v>
      </c>
      <c r="B77" s="31">
        <v>2.4828999999999999</v>
      </c>
      <c r="C77" s="31">
        <v>2.4829000000000012</v>
      </c>
      <c r="D77" s="31">
        <v>2.4829000000000012</v>
      </c>
      <c r="E77" s="31">
        <v>2.482899999999999</v>
      </c>
      <c r="F77" s="31">
        <v>2.482899999999999</v>
      </c>
      <c r="G77" s="31">
        <v>2.482899999999999</v>
      </c>
      <c r="H77" s="31">
        <v>2.4829000000000012</v>
      </c>
      <c r="I77" s="31">
        <v>2.4828999999999999</v>
      </c>
      <c r="J77" s="31">
        <v>2.2869000000000002</v>
      </c>
      <c r="K77" s="31">
        <v>2.0909</v>
      </c>
      <c r="L77" s="31">
        <v>1.8949</v>
      </c>
      <c r="M77" s="31">
        <v>1.6989000000000001</v>
      </c>
      <c r="N77" s="31">
        <v>1.589150000000001</v>
      </c>
      <c r="O77" s="31">
        <v>1.4794</v>
      </c>
      <c r="P77" s="31">
        <v>1.38795</v>
      </c>
      <c r="Q77" s="31">
        <v>1.2965</v>
      </c>
      <c r="R77" s="31">
        <v>1.2451000000000001</v>
      </c>
      <c r="S77" s="31">
        <v>1.1937</v>
      </c>
      <c r="T77" s="31">
        <v>1.13585</v>
      </c>
      <c r="U77" s="31">
        <v>1.078000000000001</v>
      </c>
      <c r="V77" s="31">
        <v>1.0319</v>
      </c>
      <c r="W77" s="31">
        <v>0.98580000000000001</v>
      </c>
      <c r="X77" s="31">
        <v>0.94145000000000001</v>
      </c>
      <c r="Y77" s="31">
        <v>0.8970999999999999</v>
      </c>
      <c r="Z77" s="31">
        <v>0.87190000000000012</v>
      </c>
      <c r="AA77" s="31">
        <v>0.84670000000000012</v>
      </c>
      <c r="AB77" s="31">
        <v>0.82070000000000021</v>
      </c>
      <c r="AC77" s="31">
        <v>0.8207000000000001</v>
      </c>
      <c r="AD77" s="31">
        <v>0.8207000000000001</v>
      </c>
      <c r="AE77" s="31">
        <v>0.82070000000000021</v>
      </c>
      <c r="AF77" s="31">
        <v>0.8207000000000001</v>
      </c>
      <c r="AG77" s="31">
        <v>0.82070000000000032</v>
      </c>
      <c r="AH77" s="32">
        <v>0.8207000000000001</v>
      </c>
    </row>
    <row r="78" spans="1:34" x14ac:dyDescent="0.25">
      <c r="A78" s="30">
        <v>20</v>
      </c>
      <c r="B78" s="31">
        <v>2.506800000000001</v>
      </c>
      <c r="C78" s="31">
        <v>2.5068000000000001</v>
      </c>
      <c r="D78" s="31">
        <v>2.5068000000000001</v>
      </c>
      <c r="E78" s="31">
        <v>2.506800000000001</v>
      </c>
      <c r="F78" s="31">
        <v>2.5068000000000001</v>
      </c>
      <c r="G78" s="31">
        <v>2.5068000000000001</v>
      </c>
      <c r="H78" s="31">
        <v>2.506800000000001</v>
      </c>
      <c r="I78" s="31">
        <v>2.5068000000000001</v>
      </c>
      <c r="J78" s="31">
        <v>2.3070500000000012</v>
      </c>
      <c r="K78" s="31">
        <v>2.1073</v>
      </c>
      <c r="L78" s="31">
        <v>1.907550000000001</v>
      </c>
      <c r="M78" s="31">
        <v>1.7078</v>
      </c>
      <c r="N78" s="31">
        <v>1.6003000000000001</v>
      </c>
      <c r="O78" s="31">
        <v>1.4927999999999999</v>
      </c>
      <c r="P78" s="31">
        <v>1.3978999999999999</v>
      </c>
      <c r="Q78" s="31">
        <v>1.3029999999999999</v>
      </c>
      <c r="R78" s="31">
        <v>1.2512000000000001</v>
      </c>
      <c r="S78" s="31">
        <v>1.1994</v>
      </c>
      <c r="T78" s="31">
        <v>1.1427</v>
      </c>
      <c r="U78" s="31">
        <v>1.0860000000000001</v>
      </c>
      <c r="V78" s="31">
        <v>1.0398000000000001</v>
      </c>
      <c r="W78" s="31">
        <v>0.99359999999999993</v>
      </c>
      <c r="X78" s="31">
        <v>0.9483999999999998</v>
      </c>
      <c r="Y78" s="31">
        <v>0.90319999999999989</v>
      </c>
      <c r="Z78" s="31">
        <v>0.87730000000000008</v>
      </c>
      <c r="AA78" s="31">
        <v>0.85139999999999971</v>
      </c>
      <c r="AB78" s="31">
        <v>0.82540000000000024</v>
      </c>
      <c r="AC78" s="31">
        <v>0.82540000000000002</v>
      </c>
      <c r="AD78" s="31">
        <v>0.82540000000000002</v>
      </c>
      <c r="AE78" s="31">
        <v>0.82540000000000036</v>
      </c>
      <c r="AF78" s="31">
        <v>0.82540000000000047</v>
      </c>
      <c r="AG78" s="31">
        <v>0.82540000000000024</v>
      </c>
      <c r="AH78" s="32">
        <v>0.82539999999999991</v>
      </c>
    </row>
    <row r="79" spans="1:34" x14ac:dyDescent="0.25">
      <c r="A79" s="30">
        <v>30</v>
      </c>
      <c r="B79" s="31">
        <v>2.5307000000000008</v>
      </c>
      <c r="C79" s="31">
        <v>2.5307000000000008</v>
      </c>
      <c r="D79" s="31">
        <v>2.5307000000000008</v>
      </c>
      <c r="E79" s="31">
        <v>2.5306999999999999</v>
      </c>
      <c r="F79" s="31">
        <v>2.5306999999999999</v>
      </c>
      <c r="G79" s="31">
        <v>2.5306999999999999</v>
      </c>
      <c r="H79" s="31">
        <v>2.5307000000000008</v>
      </c>
      <c r="I79" s="31">
        <v>2.5306999999999999</v>
      </c>
      <c r="J79" s="31">
        <v>2.3271999999999999</v>
      </c>
      <c r="K79" s="31">
        <v>2.1236999999999999</v>
      </c>
      <c r="L79" s="31">
        <v>1.9201999999999999</v>
      </c>
      <c r="M79" s="31">
        <v>1.716700000000001</v>
      </c>
      <c r="N79" s="31">
        <v>1.61145</v>
      </c>
      <c r="O79" s="31">
        <v>1.5062</v>
      </c>
      <c r="P79" s="31">
        <v>1.4078500000000009</v>
      </c>
      <c r="Q79" s="31">
        <v>1.3095000000000001</v>
      </c>
      <c r="R79" s="31">
        <v>1.2573000000000001</v>
      </c>
      <c r="S79" s="31">
        <v>1.2051000000000001</v>
      </c>
      <c r="T79" s="31">
        <v>1.149550000000001</v>
      </c>
      <c r="U79" s="31">
        <v>1.0940000000000001</v>
      </c>
      <c r="V79" s="31">
        <v>1.047700000000001</v>
      </c>
      <c r="W79" s="31">
        <v>1.0014000000000001</v>
      </c>
      <c r="X79" s="31">
        <v>0.95535000000000025</v>
      </c>
      <c r="Y79" s="31">
        <v>0.90930000000000011</v>
      </c>
      <c r="Z79" s="31">
        <v>0.88270000000000026</v>
      </c>
      <c r="AA79" s="31">
        <v>0.85609999999999964</v>
      </c>
      <c r="AB79" s="31">
        <v>0.83010000000000006</v>
      </c>
      <c r="AC79" s="31">
        <v>0.83010000000000028</v>
      </c>
      <c r="AD79" s="31">
        <v>0.83009999999999995</v>
      </c>
      <c r="AE79" s="31">
        <v>0.83010000000000028</v>
      </c>
      <c r="AF79" s="31">
        <v>0.83010000000000017</v>
      </c>
      <c r="AG79" s="31">
        <v>0.83010000000000028</v>
      </c>
      <c r="AH79" s="32">
        <v>0.83010000000000017</v>
      </c>
    </row>
    <row r="80" spans="1:34" x14ac:dyDescent="0.25">
      <c r="A80" s="30">
        <v>40</v>
      </c>
      <c r="B80" s="31">
        <v>2.5546000000000002</v>
      </c>
      <c r="C80" s="31">
        <v>2.5546000000000011</v>
      </c>
      <c r="D80" s="31">
        <v>2.5546000000000002</v>
      </c>
      <c r="E80" s="31">
        <v>2.5546000000000002</v>
      </c>
      <c r="F80" s="31">
        <v>2.5546000000000002</v>
      </c>
      <c r="G80" s="31">
        <v>2.5546000000000002</v>
      </c>
      <c r="H80" s="31">
        <v>2.5546000000000002</v>
      </c>
      <c r="I80" s="31">
        <v>2.5546000000000002</v>
      </c>
      <c r="J80" s="31">
        <v>2.34735</v>
      </c>
      <c r="K80" s="31">
        <v>2.1400999999999999</v>
      </c>
      <c r="L80" s="31">
        <v>1.93285</v>
      </c>
      <c r="M80" s="31">
        <v>1.7256000000000009</v>
      </c>
      <c r="N80" s="31">
        <v>1.6226</v>
      </c>
      <c r="O80" s="31">
        <v>1.5196000000000001</v>
      </c>
      <c r="P80" s="31">
        <v>1.4177999999999999</v>
      </c>
      <c r="Q80" s="31">
        <v>1.3160000000000001</v>
      </c>
      <c r="R80" s="31">
        <v>1.2634000000000001</v>
      </c>
      <c r="S80" s="31">
        <v>1.2108000000000001</v>
      </c>
      <c r="T80" s="31">
        <v>1.1564000000000001</v>
      </c>
      <c r="U80" s="31">
        <v>1.1020000000000001</v>
      </c>
      <c r="V80" s="31">
        <v>1.0556000000000001</v>
      </c>
      <c r="W80" s="31">
        <v>1.0092000000000001</v>
      </c>
      <c r="X80" s="31">
        <v>0.96230000000000027</v>
      </c>
      <c r="Y80" s="31">
        <v>0.91540000000000021</v>
      </c>
      <c r="Z80" s="31">
        <v>0.88809999999999989</v>
      </c>
      <c r="AA80" s="31">
        <v>0.86080000000000001</v>
      </c>
      <c r="AB80" s="31">
        <v>0.83479999999999999</v>
      </c>
      <c r="AC80" s="31">
        <v>0.8348000000000001</v>
      </c>
      <c r="AD80" s="31">
        <v>0.83479999999999999</v>
      </c>
      <c r="AE80" s="31">
        <v>0.83480000000000021</v>
      </c>
      <c r="AF80" s="31">
        <v>0.83480000000000032</v>
      </c>
      <c r="AG80" s="31">
        <v>0.83479999999999999</v>
      </c>
      <c r="AH80" s="32">
        <v>0.83479999999999988</v>
      </c>
    </row>
    <row r="81" spans="1:34" x14ac:dyDescent="0.25">
      <c r="A81" s="30">
        <v>50</v>
      </c>
      <c r="B81" s="31">
        <v>2.5785</v>
      </c>
      <c r="C81" s="31">
        <v>2.5785</v>
      </c>
      <c r="D81" s="31">
        <v>2.5785</v>
      </c>
      <c r="E81" s="31">
        <v>2.5785</v>
      </c>
      <c r="F81" s="31">
        <v>2.5785000000000009</v>
      </c>
      <c r="G81" s="31">
        <v>2.5785</v>
      </c>
      <c r="H81" s="31">
        <v>2.5785000000000009</v>
      </c>
      <c r="I81" s="31">
        <v>2.5785</v>
      </c>
      <c r="J81" s="31">
        <v>2.3675000000000002</v>
      </c>
      <c r="K81" s="31">
        <v>2.1565000000000012</v>
      </c>
      <c r="L81" s="31">
        <v>1.9455000000000009</v>
      </c>
      <c r="M81" s="31">
        <v>1.734500000000001</v>
      </c>
      <c r="N81" s="31">
        <v>1.63375</v>
      </c>
      <c r="O81" s="31">
        <v>1.5329999999999999</v>
      </c>
      <c r="P81" s="31">
        <v>1.4277500000000001</v>
      </c>
      <c r="Q81" s="31">
        <v>1.3225</v>
      </c>
      <c r="R81" s="31">
        <v>1.2695000000000001</v>
      </c>
      <c r="S81" s="31">
        <v>1.216500000000001</v>
      </c>
      <c r="T81" s="31">
        <v>1.1632499999999999</v>
      </c>
      <c r="U81" s="31">
        <v>1.1100000000000001</v>
      </c>
      <c r="V81" s="31">
        <v>1.063500000000001</v>
      </c>
      <c r="W81" s="31">
        <v>1.0169999999999999</v>
      </c>
      <c r="X81" s="31">
        <v>0.96925000000000017</v>
      </c>
      <c r="Y81" s="31">
        <v>0.9215000000000001</v>
      </c>
      <c r="Z81" s="31">
        <v>0.89349999999999985</v>
      </c>
      <c r="AA81" s="31">
        <v>0.86550000000000016</v>
      </c>
      <c r="AB81" s="31">
        <v>0.83950000000000002</v>
      </c>
      <c r="AC81" s="31">
        <v>0.83949999999999991</v>
      </c>
      <c r="AD81" s="31">
        <v>0.83949999999999991</v>
      </c>
      <c r="AE81" s="31">
        <v>0.83950000000000025</v>
      </c>
      <c r="AF81" s="31">
        <v>0.83949999999999991</v>
      </c>
      <c r="AG81" s="31">
        <v>0.83950000000000002</v>
      </c>
      <c r="AH81" s="32">
        <v>0.83950000000000014</v>
      </c>
    </row>
    <row r="82" spans="1:34" x14ac:dyDescent="0.25">
      <c r="A82" s="30">
        <v>60</v>
      </c>
      <c r="B82" s="31">
        <v>2.6023999999999998</v>
      </c>
      <c r="C82" s="31">
        <v>2.6024000000000012</v>
      </c>
      <c r="D82" s="31">
        <v>2.6023999999999998</v>
      </c>
      <c r="E82" s="31">
        <v>2.6023999999999989</v>
      </c>
      <c r="F82" s="31">
        <v>2.6023999999999998</v>
      </c>
      <c r="G82" s="31">
        <v>2.6023999999999989</v>
      </c>
      <c r="H82" s="31">
        <v>2.6023999999999998</v>
      </c>
      <c r="I82" s="31">
        <v>2.6023999999999998</v>
      </c>
      <c r="J82" s="31">
        <v>2.3876500000000012</v>
      </c>
      <c r="K82" s="31">
        <v>2.1728999999999998</v>
      </c>
      <c r="L82" s="31">
        <v>1.9581500000000009</v>
      </c>
      <c r="M82" s="31">
        <v>1.7434000000000001</v>
      </c>
      <c r="N82" s="31">
        <v>1.6449</v>
      </c>
      <c r="O82" s="31">
        <v>1.5464</v>
      </c>
      <c r="P82" s="31">
        <v>1.4377</v>
      </c>
      <c r="Q82" s="31">
        <v>1.329</v>
      </c>
      <c r="R82" s="31">
        <v>1.2756000000000001</v>
      </c>
      <c r="S82" s="31">
        <v>1.2222</v>
      </c>
      <c r="T82" s="31">
        <v>1.1700999999999999</v>
      </c>
      <c r="U82" s="31">
        <v>1.1180000000000001</v>
      </c>
      <c r="V82" s="31">
        <v>1.0713999999999999</v>
      </c>
      <c r="W82" s="31">
        <v>1.0247999999999999</v>
      </c>
      <c r="X82" s="31">
        <v>0.97620000000000007</v>
      </c>
      <c r="Y82" s="31">
        <v>0.92759999999999987</v>
      </c>
      <c r="Z82" s="31">
        <v>0.89889999999999992</v>
      </c>
      <c r="AA82" s="31">
        <v>0.87019999999999997</v>
      </c>
      <c r="AB82" s="31">
        <v>0.84419999999999984</v>
      </c>
      <c r="AC82" s="31">
        <v>0.84419999999999984</v>
      </c>
      <c r="AD82" s="31">
        <v>0.84419999999999995</v>
      </c>
      <c r="AE82" s="31">
        <v>0.84419999999999984</v>
      </c>
      <c r="AF82" s="31">
        <v>0.84419999999999973</v>
      </c>
      <c r="AG82" s="31">
        <v>0.84419999999999995</v>
      </c>
      <c r="AH82" s="32">
        <v>0.84419999999999995</v>
      </c>
    </row>
    <row r="83" spans="1:34" x14ac:dyDescent="0.25">
      <c r="A83" s="30">
        <v>70</v>
      </c>
      <c r="B83" s="31">
        <v>2.6263000000000001</v>
      </c>
      <c r="C83" s="31">
        <v>2.626300000000001</v>
      </c>
      <c r="D83" s="31">
        <v>2.626300000000001</v>
      </c>
      <c r="E83" s="31">
        <v>2.6262999999999992</v>
      </c>
      <c r="F83" s="31">
        <v>2.6263000000000001</v>
      </c>
      <c r="G83" s="31">
        <v>2.6262999999999992</v>
      </c>
      <c r="H83" s="31">
        <v>2.6263000000000001</v>
      </c>
      <c r="I83" s="31">
        <v>2.6262999999999992</v>
      </c>
      <c r="J83" s="31">
        <v>2.4077999999999999</v>
      </c>
      <c r="K83" s="31">
        <v>2.1893000000000011</v>
      </c>
      <c r="L83" s="31">
        <v>1.970799999999999</v>
      </c>
      <c r="M83" s="31">
        <v>1.7523</v>
      </c>
      <c r="N83" s="31">
        <v>1.65605</v>
      </c>
      <c r="O83" s="31">
        <v>1.5598000000000001</v>
      </c>
      <c r="P83" s="31">
        <v>1.4476500000000001</v>
      </c>
      <c r="Q83" s="31">
        <v>1.3354999999999999</v>
      </c>
      <c r="R83" s="31">
        <v>1.2817000000000001</v>
      </c>
      <c r="S83" s="31">
        <v>1.2279</v>
      </c>
      <c r="T83" s="31">
        <v>1.1769499999999999</v>
      </c>
      <c r="U83" s="31">
        <v>1.1259999999999999</v>
      </c>
      <c r="V83" s="31">
        <v>1.0792999999999999</v>
      </c>
      <c r="W83" s="31">
        <v>1.0326</v>
      </c>
      <c r="X83" s="31">
        <v>0.98314999999999952</v>
      </c>
      <c r="Y83" s="31">
        <v>0.93369999999999986</v>
      </c>
      <c r="Z83" s="31">
        <v>0.90429999999999999</v>
      </c>
      <c r="AA83" s="31">
        <v>0.87490000000000012</v>
      </c>
      <c r="AB83" s="31">
        <v>0.84889999999999977</v>
      </c>
      <c r="AC83" s="31">
        <v>0.84889999999999977</v>
      </c>
      <c r="AD83" s="31">
        <v>0.84889999999999977</v>
      </c>
      <c r="AE83" s="31">
        <v>0.84889999999999999</v>
      </c>
      <c r="AF83" s="31">
        <v>0.84889999999999999</v>
      </c>
      <c r="AG83" s="31">
        <v>0.84889999999999977</v>
      </c>
      <c r="AH83" s="32">
        <v>0.84889999999999977</v>
      </c>
    </row>
    <row r="84" spans="1:34" x14ac:dyDescent="0.25">
      <c r="A84" s="33">
        <v>80</v>
      </c>
      <c r="B84" s="34">
        <v>2.6501999999999999</v>
      </c>
      <c r="C84" s="34">
        <v>2.6501999999999999</v>
      </c>
      <c r="D84" s="34">
        <v>2.6501999999999999</v>
      </c>
      <c r="E84" s="34">
        <v>2.6501999999999999</v>
      </c>
      <c r="F84" s="34">
        <v>2.650199999999999</v>
      </c>
      <c r="G84" s="34">
        <v>2.650199999999999</v>
      </c>
      <c r="H84" s="34">
        <v>2.6501999999999999</v>
      </c>
      <c r="I84" s="34">
        <v>2.650199999999999</v>
      </c>
      <c r="J84" s="34">
        <v>2.4279500000000001</v>
      </c>
      <c r="K84" s="34">
        <v>2.2057000000000002</v>
      </c>
      <c r="L84" s="34">
        <v>1.9834499999999999</v>
      </c>
      <c r="M84" s="34">
        <v>1.7612000000000001</v>
      </c>
      <c r="N84" s="34">
        <v>1.6672</v>
      </c>
      <c r="O84" s="34">
        <v>1.5731999999999999</v>
      </c>
      <c r="P84" s="34">
        <v>1.4576</v>
      </c>
      <c r="Q84" s="34">
        <v>1.3420000000000001</v>
      </c>
      <c r="R84" s="34">
        <v>1.2878000000000001</v>
      </c>
      <c r="S84" s="34">
        <v>1.2336</v>
      </c>
      <c r="T84" s="34">
        <v>1.1838</v>
      </c>
      <c r="U84" s="34">
        <v>1.1339999999999999</v>
      </c>
      <c r="V84" s="34">
        <v>1.0871999999999999</v>
      </c>
      <c r="W84" s="34">
        <v>1.0404</v>
      </c>
      <c r="X84" s="34">
        <v>0.99009999999999987</v>
      </c>
      <c r="Y84" s="34">
        <v>0.93979999999999997</v>
      </c>
      <c r="Z84" s="34">
        <v>0.90969999999999995</v>
      </c>
      <c r="AA84" s="34">
        <v>0.87959999999999972</v>
      </c>
      <c r="AB84" s="34">
        <v>0.85360000000000003</v>
      </c>
      <c r="AC84" s="34">
        <v>0.85359999999999991</v>
      </c>
      <c r="AD84" s="34">
        <v>0.85359999999999969</v>
      </c>
      <c r="AE84" s="34">
        <v>0.85360000000000003</v>
      </c>
      <c r="AF84" s="34">
        <v>0.85359999999999991</v>
      </c>
      <c r="AG84" s="34">
        <v>0.85360000000000003</v>
      </c>
      <c r="AH84" s="35">
        <v>0.85359999999999991</v>
      </c>
    </row>
    <row r="87" spans="1:34" ht="28.9" customHeight="1" x14ac:dyDescent="0.5">
      <c r="A87" s="1" t="s">
        <v>32</v>
      </c>
    </row>
    <row r="88" spans="1:34" ht="32.1" customHeight="1" x14ac:dyDescent="0.25"/>
    <row r="89" spans="1:34" x14ac:dyDescent="0.25">
      <c r="A89" s="2"/>
      <c r="B89" s="3"/>
      <c r="C89" s="3"/>
      <c r="D89" s="4"/>
    </row>
    <row r="90" spans="1:34" x14ac:dyDescent="0.25">
      <c r="A90" s="5" t="s">
        <v>33</v>
      </c>
      <c r="B90" s="6">
        <v>1.375</v>
      </c>
      <c r="C90" s="6" t="s">
        <v>13</v>
      </c>
      <c r="D90" s="7"/>
    </row>
    <row r="91" spans="1:34" x14ac:dyDescent="0.25">
      <c r="A91" s="8"/>
      <c r="B91" s="9"/>
      <c r="C91" s="9"/>
      <c r="D91" s="10"/>
    </row>
    <row r="94" spans="1:34" ht="48" customHeight="1" x14ac:dyDescent="0.25">
      <c r="A94" s="21" t="s">
        <v>34</v>
      </c>
      <c r="B94" s="23" t="s">
        <v>35</v>
      </c>
    </row>
    <row r="95" spans="1:34" x14ac:dyDescent="0.25">
      <c r="A95" s="5">
        <v>0</v>
      </c>
      <c r="B95" s="32">
        <v>9.000000000000008E-2</v>
      </c>
    </row>
    <row r="96" spans="1:34" x14ac:dyDescent="0.25">
      <c r="A96" s="5">
        <v>0.125</v>
      </c>
      <c r="B96" s="32">
        <v>8.107738095238104E-2</v>
      </c>
    </row>
    <row r="97" spans="1:2" x14ac:dyDescent="0.25">
      <c r="A97" s="5">
        <v>0.25</v>
      </c>
      <c r="B97" s="32">
        <v>6.2541666666666718E-2</v>
      </c>
    </row>
    <row r="98" spans="1:2" x14ac:dyDescent="0.25">
      <c r="A98" s="5">
        <v>0.375</v>
      </c>
      <c r="B98" s="32">
        <v>1.6182777777777879E-2</v>
      </c>
    </row>
    <row r="99" spans="1:2" x14ac:dyDescent="0.25">
      <c r="A99" s="5">
        <v>0.5</v>
      </c>
      <c r="B99" s="32">
        <v>4.0166666666666462E-2</v>
      </c>
    </row>
    <row r="100" spans="1:2" x14ac:dyDescent="0.25">
      <c r="A100" s="5">
        <v>0.625</v>
      </c>
      <c r="B100" s="32">
        <v>4.5153333333333379E-2</v>
      </c>
    </row>
    <row r="101" spans="1:2" x14ac:dyDescent="0.25">
      <c r="A101" s="5">
        <v>0.75</v>
      </c>
      <c r="B101" s="32">
        <v>3.2625000000000133E-2</v>
      </c>
    </row>
    <row r="102" spans="1:2" x14ac:dyDescent="0.25">
      <c r="A102" s="5">
        <v>0.875</v>
      </c>
      <c r="B102" s="32">
        <v>2.7428333333333391E-2</v>
      </c>
    </row>
    <row r="103" spans="1:2" x14ac:dyDescent="0.25">
      <c r="A103" s="5">
        <v>1</v>
      </c>
      <c r="B103" s="32">
        <v>1.6777777777777999E-2</v>
      </c>
    </row>
    <row r="104" spans="1:2" x14ac:dyDescent="0.25">
      <c r="A104" s="5">
        <v>1.125</v>
      </c>
      <c r="B104" s="32">
        <v>2.8556111111110831E-2</v>
      </c>
    </row>
    <row r="105" spans="1:2" x14ac:dyDescent="0.25">
      <c r="A105" s="5">
        <v>1.25</v>
      </c>
      <c r="B105" s="32">
        <v>1.3499761315801001E-2</v>
      </c>
    </row>
    <row r="106" spans="1:2" x14ac:dyDescent="0.25">
      <c r="A106" s="5">
        <v>1.375</v>
      </c>
      <c r="B106" s="32">
        <v>0</v>
      </c>
    </row>
    <row r="107" spans="1:2" x14ac:dyDescent="0.25">
      <c r="A107" s="5">
        <v>1.5</v>
      </c>
      <c r="B107" s="32">
        <v>0</v>
      </c>
    </row>
    <row r="108" spans="1:2" x14ac:dyDescent="0.25">
      <c r="A108" s="5">
        <v>1.625</v>
      </c>
      <c r="B108" s="32">
        <v>0</v>
      </c>
    </row>
    <row r="109" spans="1:2" x14ac:dyDescent="0.25">
      <c r="A109" s="5">
        <v>1.75</v>
      </c>
      <c r="B109" s="32">
        <v>0</v>
      </c>
    </row>
    <row r="110" spans="1:2" x14ac:dyDescent="0.25">
      <c r="A110" s="5">
        <v>1.875</v>
      </c>
      <c r="B110" s="32">
        <v>0</v>
      </c>
    </row>
    <row r="111" spans="1:2" x14ac:dyDescent="0.25">
      <c r="A111" s="5">
        <v>2</v>
      </c>
      <c r="B111" s="32">
        <v>0</v>
      </c>
    </row>
    <row r="112" spans="1:2" x14ac:dyDescent="0.25">
      <c r="A112" s="5">
        <v>2.125</v>
      </c>
      <c r="B112" s="32">
        <v>0</v>
      </c>
    </row>
    <row r="113" spans="1:2" x14ac:dyDescent="0.25">
      <c r="A113" s="5">
        <v>2.25</v>
      </c>
      <c r="B113" s="32">
        <v>0</v>
      </c>
    </row>
    <row r="114" spans="1:2" x14ac:dyDescent="0.25">
      <c r="A114" s="5">
        <v>2.375</v>
      </c>
      <c r="B114" s="32">
        <v>0</v>
      </c>
    </row>
    <row r="115" spans="1:2" x14ac:dyDescent="0.25">
      <c r="A115" s="5">
        <v>2.5</v>
      </c>
      <c r="B115" s="32">
        <v>0</v>
      </c>
    </row>
    <row r="116" spans="1:2" x14ac:dyDescent="0.25">
      <c r="A116" s="5">
        <v>2.625</v>
      </c>
      <c r="B116" s="32">
        <v>0</v>
      </c>
    </row>
    <row r="117" spans="1:2" x14ac:dyDescent="0.25">
      <c r="A117" s="5">
        <v>2.75</v>
      </c>
      <c r="B117" s="32">
        <v>0</v>
      </c>
    </row>
    <row r="118" spans="1:2" x14ac:dyDescent="0.25">
      <c r="A118" s="5">
        <v>2.875</v>
      </c>
      <c r="B118" s="32">
        <v>0</v>
      </c>
    </row>
    <row r="119" spans="1:2" x14ac:dyDescent="0.25">
      <c r="A119" s="5">
        <v>3</v>
      </c>
      <c r="B119" s="32">
        <v>0</v>
      </c>
    </row>
    <row r="120" spans="1:2" x14ac:dyDescent="0.25">
      <c r="A120" s="5">
        <v>3.125</v>
      </c>
      <c r="B120" s="32">
        <v>0</v>
      </c>
    </row>
    <row r="121" spans="1:2" x14ac:dyDescent="0.25">
      <c r="A121" s="5">
        <v>3.25</v>
      </c>
      <c r="B121" s="32">
        <v>0</v>
      </c>
    </row>
    <row r="122" spans="1:2" x14ac:dyDescent="0.25">
      <c r="A122" s="5">
        <v>3.375</v>
      </c>
      <c r="B122" s="32">
        <v>0</v>
      </c>
    </row>
    <row r="123" spans="1:2" x14ac:dyDescent="0.25">
      <c r="A123" s="5">
        <v>3.5</v>
      </c>
      <c r="B123" s="32">
        <v>0</v>
      </c>
    </row>
    <row r="124" spans="1:2" x14ac:dyDescent="0.25">
      <c r="A124" s="5">
        <v>3.625</v>
      </c>
      <c r="B124" s="32">
        <v>0</v>
      </c>
    </row>
    <row r="125" spans="1:2" x14ac:dyDescent="0.25">
      <c r="A125" s="5">
        <v>3.75</v>
      </c>
      <c r="B125" s="32">
        <v>0</v>
      </c>
    </row>
    <row r="126" spans="1:2" x14ac:dyDescent="0.25">
      <c r="A126" s="5">
        <v>3.875</v>
      </c>
      <c r="B126" s="32">
        <v>0</v>
      </c>
    </row>
    <row r="127" spans="1:2" x14ac:dyDescent="0.25">
      <c r="A127" s="8">
        <v>4</v>
      </c>
      <c r="B127" s="35">
        <v>0</v>
      </c>
    </row>
  </sheetData>
  <sheetProtection algorithmName="SHA-512" hashValue="lNX/K7Aqz7tMnFwzyyqSY9MGp4dpJxSMijSJ9b8cjbTRdkK2JjA6nZ5GAIEAxYxpeqN8SghaWnl48LEIJ70PnQ==" saltValue="1G4rG79ZEF2naWG5ehtRSw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P01, 0411, P59</vt:lpstr>
      <vt:lpstr>E40</vt:lpstr>
      <vt:lpstr>P04</vt:lpstr>
      <vt:lpstr>P05</vt:lpstr>
      <vt:lpstr>P12</vt:lpstr>
      <vt:lpstr>E37, E38 (&lt;2009)</vt:lpstr>
      <vt:lpstr>E38 (2009+), E67, E78</vt:lpstr>
      <vt:lpstr>Generic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2024-08-14T01:18:27Z</dcterms:created>
  <dcterms:modified xsi:type="dcterms:W3CDTF">2024-08-14T02:46:49Z</dcterms:modified>
</cp:coreProperties>
</file>